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harts/chart6.xml" ContentType="application/vnd.openxmlformats-officedocument.drawingml.chart+xml"/>
  <Override PartName="/xl/drawings/drawing3.xml" ContentType="application/vnd.openxmlformats-officedocument.drawingml.chartshapes+xml"/>
  <Override PartName="/xl/charts/chart7.xml" ContentType="application/vnd.openxmlformats-officedocument.drawingml.chart+xml"/>
  <Override PartName="/xl/drawings/drawing4.xml" ContentType="application/vnd.openxmlformats-officedocument.drawingml.chartshapes+xml"/>
  <Override PartName="/xl/charts/chart8.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autoCompressPictures="0" defaultThemeVersion="124226"/>
  <mc:AlternateContent xmlns:mc="http://schemas.openxmlformats.org/markup-compatibility/2006">
    <mc:Choice Requires="x15">
      <x15ac:absPath xmlns:x15ac="http://schemas.microsoft.com/office/spreadsheetml/2010/11/ac" url="C:\Users\Gabrielle\Desktop\"/>
    </mc:Choice>
  </mc:AlternateContent>
  <xr:revisionPtr revIDLastSave="0" documentId="13_ncr:1_{9D0E0D99-7EF9-4BC2-9618-CF01533231DA}" xr6:coauthVersionLast="34" xr6:coauthVersionMax="34" xr10:uidLastSave="{00000000-0000-0000-0000-000000000000}"/>
  <bookViews>
    <workbookView xWindow="0" yWindow="0" windowWidth="20490" windowHeight="7545" xr2:uid="{00000000-000D-0000-FFFF-FFFF00000000}"/>
  </bookViews>
  <sheets>
    <sheet name="Capítulo 1" sheetId="1" r:id="rId1"/>
    <sheet name="Capítulo 2" sheetId="3" r:id="rId2"/>
    <sheet name="Capítulo 3" sheetId="4" r:id="rId3"/>
    <sheet name="Capítulo 4" sheetId="5" r:id="rId4"/>
  </sheets>
  <definedNames>
    <definedName name="_ftn1" localSheetId="0">'Capítulo 1'!$A$5</definedName>
    <definedName name="_ftnref1" localSheetId="0">'Capítulo 1'!$A$3</definedName>
    <definedName name="_Ref329336560" localSheetId="0">'Capítulo 1'!$A$85</definedName>
    <definedName name="_Ref329534800" localSheetId="1">'Capítulo 2'!$C$63</definedName>
    <definedName name="_Ref329539079" localSheetId="1">'Capítulo 2'!#REF!</definedName>
    <definedName name="_Ref329542474" localSheetId="1">'Capítulo 2'!$A$46</definedName>
    <definedName name="_Ref329676567" localSheetId="1">'Capítulo 2'!$A$224</definedName>
    <definedName name="_Ref330192926" localSheetId="2">'Capítulo 3'!$C$305</definedName>
    <definedName name="_Ref330544559" localSheetId="3">'Capítulo 4'!$A$192</definedName>
    <definedName name="_Ref330552097" localSheetId="3">'Capítulo 4'!$A$292</definedName>
    <definedName name="_Ref330635693" localSheetId="3">'Capítulo 4'!$A$501</definedName>
    <definedName name="_Ref332204731" localSheetId="1">'Capítulo 2'!$A$686</definedName>
    <definedName name="_Ref332213199" localSheetId="1">'Capítulo 2'!$A$553</definedName>
    <definedName name="_Ref332370228" localSheetId="1">'Capítulo 2'!$A$544</definedName>
    <definedName name="_Ref332475827" localSheetId="1">'Capítulo 2'!$A$672</definedName>
    <definedName name="_Ref333323631" localSheetId="1">'Capítulo 2'!$A$222</definedName>
    <definedName name="_Ref333415774" localSheetId="1">'Capítulo 2'!$A$809</definedName>
    <definedName name="_Ref333436548" localSheetId="1">'Capítulo 2'!$A$814</definedName>
    <definedName name="_Ref333483424" localSheetId="2">'Capítulo 3'!$A$3</definedName>
    <definedName name="_Ref333490635" localSheetId="2">'Capítulo 3'!$A$229</definedName>
    <definedName name="_Ref334628000" localSheetId="3">'Capítulo 4'!$A$298</definedName>
    <definedName name="_Ref335561781" localSheetId="1">'Capítulo 2'!$A$441</definedName>
    <definedName name="_Ref335561854" localSheetId="1">'Capítulo 2'!$A$472</definedName>
    <definedName name="_Ref339908852" localSheetId="1">'Capítulo 2'!$A$168</definedName>
    <definedName name="_Ref339989948" localSheetId="1">'Capítulo 2'!$A$671</definedName>
    <definedName name="_Ref340486175" localSheetId="1">'Capítulo 2'!$A$372</definedName>
    <definedName name="_Ref510011205" localSheetId="0">'Capítulo 1'!$A$61</definedName>
    <definedName name="_xlnm.Print_Area" localSheetId="0">'Capítulo 1'!$A$2:$J$152</definedName>
    <definedName name="OLE_LINK1" localSheetId="1">'Capítulo 2'!$D$92</definedName>
  </definedNames>
  <calcPr calcId="179017" concurrentCalc="0"/>
  <extLst>
    <ext xmlns:mx="http://schemas.microsoft.com/office/mac/excel/2008/main" uri="{7523E5D3-25F3-A5E0-1632-64F254C22452}">
      <mx:ArchID Flags="2"/>
    </ext>
  </extLst>
</workbook>
</file>

<file path=xl/calcChain.xml><?xml version="1.0" encoding="utf-8"?>
<calcChain xmlns="http://schemas.openxmlformats.org/spreadsheetml/2006/main">
  <c r="D15" i="5" l="1"/>
  <c r="J15" i="5"/>
  <c r="D16" i="5"/>
  <c r="J16" i="5"/>
  <c r="C17" i="5"/>
  <c r="D17" i="5"/>
  <c r="J17" i="5"/>
  <c r="D18" i="5"/>
  <c r="J18" i="5"/>
  <c r="C19" i="5"/>
  <c r="D19" i="5"/>
  <c r="J19" i="5"/>
  <c r="C20" i="5"/>
  <c r="D20" i="5"/>
  <c r="J20" i="5"/>
  <c r="D21" i="5"/>
  <c r="J21" i="5"/>
  <c r="D22" i="5"/>
  <c r="J22" i="5"/>
  <c r="D23" i="5"/>
  <c r="J23" i="5"/>
  <c r="D24" i="5"/>
  <c r="J24" i="5"/>
  <c r="D25" i="5"/>
  <c r="J25" i="5"/>
  <c r="J26" i="5"/>
  <c r="I15" i="5"/>
  <c r="I16" i="5"/>
  <c r="H17" i="5"/>
  <c r="I17" i="5"/>
  <c r="I18" i="5"/>
  <c r="H19" i="5"/>
  <c r="I19" i="5"/>
  <c r="H20" i="5"/>
  <c r="I20" i="5"/>
  <c r="I21" i="5"/>
  <c r="I22" i="5"/>
  <c r="I23" i="5"/>
  <c r="I24" i="5"/>
  <c r="I25" i="5"/>
  <c r="B40" i="5"/>
  <c r="E40" i="5"/>
  <c r="D50" i="5"/>
  <c r="D51" i="5"/>
  <c r="D52" i="5"/>
  <c r="D53" i="5"/>
  <c r="D54" i="5"/>
  <c r="D56" i="5"/>
  <c r="E87" i="5"/>
  <c r="F91" i="5"/>
  <c r="F92" i="5"/>
  <c r="D94" i="5"/>
  <c r="D95" i="5"/>
  <c r="D96" i="5"/>
  <c r="E111" i="5"/>
  <c r="F115" i="5"/>
  <c r="F116" i="5"/>
  <c r="D118" i="5"/>
  <c r="D119" i="5"/>
  <c r="D120" i="5"/>
  <c r="B126" i="5"/>
  <c r="B127" i="5"/>
  <c r="B128" i="5"/>
  <c r="E130" i="5"/>
  <c r="F134" i="5"/>
  <c r="F135" i="5"/>
  <c r="D137" i="5"/>
  <c r="D138" i="5"/>
  <c r="D139" i="5"/>
  <c r="E149" i="5"/>
  <c r="F153" i="5"/>
  <c r="F154" i="5"/>
  <c r="D156" i="5"/>
  <c r="D157" i="5"/>
  <c r="D158" i="5"/>
  <c r="B166" i="5"/>
  <c r="E168" i="5"/>
  <c r="F172" i="5"/>
  <c r="F173" i="5"/>
  <c r="D175" i="5"/>
  <c r="D176" i="5"/>
  <c r="D177" i="5"/>
  <c r="H186" i="5"/>
  <c r="E219" i="5"/>
  <c r="F219" i="5"/>
  <c r="G219" i="5"/>
  <c r="H219" i="5"/>
  <c r="E220" i="5"/>
  <c r="F220" i="5"/>
  <c r="G220" i="5"/>
  <c r="H220" i="5"/>
  <c r="E221" i="5"/>
  <c r="F221" i="5"/>
  <c r="G221" i="5"/>
  <c r="H221" i="5"/>
  <c r="E222" i="5"/>
  <c r="F222" i="5"/>
  <c r="G222" i="5"/>
  <c r="H222" i="5"/>
  <c r="E224" i="5"/>
  <c r="F224" i="5"/>
  <c r="G224" i="5"/>
  <c r="H224" i="5"/>
  <c r="E225" i="5"/>
  <c r="F225" i="5"/>
  <c r="G225" i="5"/>
  <c r="H225" i="5"/>
  <c r="E226" i="5"/>
  <c r="F226" i="5"/>
  <c r="G226" i="5"/>
  <c r="H226" i="5"/>
  <c r="E227" i="5"/>
  <c r="F227" i="5"/>
  <c r="G227" i="5"/>
  <c r="H227" i="5"/>
  <c r="E228" i="5"/>
  <c r="F228" i="5"/>
  <c r="G228" i="5"/>
  <c r="H228" i="5"/>
  <c r="E230" i="5"/>
  <c r="F232" i="5"/>
  <c r="H241" i="5"/>
  <c r="H242" i="5"/>
  <c r="H243" i="5"/>
  <c r="H244" i="5"/>
  <c r="H245" i="5"/>
  <c r="H246" i="5"/>
  <c r="F249" i="5"/>
  <c r="B249" i="5"/>
  <c r="F250" i="5"/>
  <c r="C271" i="5"/>
  <c r="C272" i="5"/>
  <c r="C273" i="5"/>
  <c r="C274" i="5"/>
  <c r="F275" i="5"/>
  <c r="F276" i="5"/>
  <c r="E329" i="5"/>
  <c r="C329" i="5"/>
  <c r="F329" i="5"/>
  <c r="I329" i="5"/>
  <c r="E330" i="5"/>
  <c r="C330" i="5"/>
  <c r="F330" i="5"/>
  <c r="I330" i="5"/>
  <c r="E331" i="5"/>
  <c r="C331" i="5"/>
  <c r="F331" i="5"/>
  <c r="I331" i="5"/>
  <c r="E332" i="5"/>
  <c r="C332" i="5"/>
  <c r="F332" i="5"/>
  <c r="I332" i="5"/>
  <c r="E333" i="5"/>
  <c r="C333" i="5"/>
  <c r="F333" i="5"/>
  <c r="I333" i="5"/>
  <c r="E334" i="5"/>
  <c r="H337" i="5"/>
  <c r="K329" i="5"/>
  <c r="K330" i="5"/>
  <c r="K331" i="5"/>
  <c r="K332" i="5"/>
  <c r="K333" i="5"/>
  <c r="K334" i="5"/>
  <c r="H338" i="5"/>
  <c r="G339" i="5"/>
  <c r="D340" i="5"/>
  <c r="D341" i="5"/>
  <c r="D345" i="5"/>
  <c r="D346" i="5"/>
  <c r="M329" i="5"/>
  <c r="M330" i="5"/>
  <c r="M331" i="5"/>
  <c r="M332" i="5"/>
  <c r="M333" i="5"/>
  <c r="D347" i="5"/>
  <c r="H349" i="5"/>
  <c r="E354" i="5"/>
  <c r="E355" i="5"/>
  <c r="E356" i="5"/>
  <c r="E357" i="5"/>
  <c r="E358" i="5"/>
  <c r="C354" i="5"/>
  <c r="C355" i="5"/>
  <c r="C356" i="5"/>
  <c r="C357" i="5"/>
  <c r="C358" i="5"/>
  <c r="G358" i="5"/>
  <c r="C361" i="5"/>
  <c r="D361" i="5"/>
  <c r="C362" i="5"/>
  <c r="D362" i="5"/>
  <c r="C363" i="5"/>
  <c r="D363" i="5"/>
  <c r="F369" i="5"/>
  <c r="I369" i="5"/>
  <c r="F370" i="5"/>
  <c r="I370" i="5"/>
  <c r="D372" i="5"/>
  <c r="D373" i="5"/>
  <c r="C390" i="5"/>
  <c r="B397" i="5"/>
  <c r="E397" i="5"/>
  <c r="E404" i="5"/>
  <c r="G404" i="5"/>
  <c r="F407" i="5"/>
  <c r="D412" i="5"/>
  <c r="F431" i="5"/>
  <c r="C418" i="5"/>
  <c r="C420" i="5"/>
  <c r="F432" i="5"/>
  <c r="F433" i="5"/>
  <c r="C429" i="5"/>
  <c r="D438" i="5"/>
  <c r="F443" i="5"/>
  <c r="I445" i="5"/>
  <c r="G447" i="5"/>
  <c r="D452" i="5"/>
  <c r="H468" i="5"/>
  <c r="H469" i="5"/>
  <c r="H470" i="5"/>
  <c r="E529" i="5"/>
  <c r="F529" i="5"/>
  <c r="G529" i="5"/>
  <c r="H529" i="5"/>
  <c r="I529" i="5"/>
  <c r="E531" i="5"/>
  <c r="F531" i="5"/>
  <c r="G531" i="5"/>
  <c r="H531" i="5"/>
  <c r="I531" i="5"/>
  <c r="H532" i="5"/>
  <c r="I532" i="5"/>
  <c r="E533" i="5"/>
  <c r="F533" i="5"/>
  <c r="G533" i="5"/>
  <c r="I533" i="5"/>
  <c r="E534" i="5"/>
  <c r="F534" i="5"/>
  <c r="G534" i="5"/>
  <c r="H534" i="5"/>
  <c r="I534" i="5"/>
  <c r="E535" i="5"/>
  <c r="F535" i="5"/>
  <c r="G535" i="5"/>
  <c r="H535" i="5"/>
  <c r="I535" i="5"/>
  <c r="E536" i="5"/>
  <c r="F536" i="5"/>
  <c r="G536" i="5"/>
  <c r="H536" i="5"/>
  <c r="I536" i="5"/>
  <c r="E537" i="5"/>
  <c r="F537" i="5"/>
  <c r="G537" i="5"/>
  <c r="H537" i="5"/>
  <c r="I537" i="5"/>
  <c r="D548" i="5"/>
  <c r="E548" i="5"/>
  <c r="F548" i="5"/>
  <c r="G548" i="5"/>
  <c r="H548" i="5"/>
  <c r="D549" i="5"/>
  <c r="E549" i="5"/>
  <c r="F549" i="5"/>
  <c r="G549" i="5"/>
  <c r="H549" i="5"/>
  <c r="D550" i="5"/>
  <c r="E550" i="5"/>
  <c r="F550" i="5"/>
  <c r="G550" i="5"/>
  <c r="H550" i="5"/>
  <c r="D551" i="5"/>
  <c r="E551" i="5"/>
  <c r="F551" i="5"/>
  <c r="G551" i="5"/>
  <c r="H551" i="5"/>
  <c r="D553" i="5"/>
  <c r="E553" i="5"/>
  <c r="F553" i="5"/>
  <c r="G553" i="5"/>
  <c r="H553" i="5"/>
  <c r="D554" i="5"/>
  <c r="E554" i="5"/>
  <c r="F554" i="5"/>
  <c r="G554" i="5"/>
  <c r="H554" i="5"/>
  <c r="D555" i="5"/>
  <c r="E555" i="5"/>
  <c r="F555" i="5"/>
  <c r="G555" i="5"/>
  <c r="H555" i="5"/>
  <c r="D556" i="5"/>
  <c r="E556" i="5"/>
  <c r="F556" i="5"/>
  <c r="G556" i="5"/>
  <c r="H556" i="5"/>
  <c r="D557" i="5"/>
  <c r="E557" i="5"/>
  <c r="F557" i="5"/>
  <c r="G557" i="5"/>
  <c r="H557" i="5"/>
  <c r="D558" i="5"/>
  <c r="E558" i="5"/>
  <c r="F558" i="5"/>
  <c r="G558" i="5"/>
  <c r="H558" i="5"/>
  <c r="D559" i="5"/>
  <c r="E559" i="5"/>
  <c r="F559" i="5"/>
  <c r="G559" i="5"/>
  <c r="H559" i="5"/>
  <c r="D400" i="4"/>
  <c r="G218" i="3"/>
  <c r="G217" i="3"/>
  <c r="C179" i="3"/>
  <c r="H179" i="3"/>
  <c r="E188" i="3"/>
  <c r="D192" i="3"/>
  <c r="J193" i="3"/>
  <c r="Q71" i="5"/>
  <c r="Q72" i="5"/>
  <c r="Q73" i="5"/>
  <c r="AO81" i="5"/>
  <c r="AR81" i="5"/>
  <c r="AO82" i="5"/>
  <c r="AR82" i="5"/>
  <c r="AO83" i="5"/>
  <c r="AR83" i="5"/>
  <c r="AO84" i="5"/>
  <c r="AR84" i="5"/>
  <c r="AO85" i="5"/>
  <c r="AR85" i="5"/>
  <c r="AQ86" i="5"/>
  <c r="AR86" i="5"/>
  <c r="AQ87" i="5"/>
  <c r="AR87" i="5"/>
  <c r="AQ88" i="5"/>
  <c r="AR88" i="5"/>
  <c r="AQ89" i="5"/>
  <c r="AR89" i="5"/>
  <c r="AQ90" i="5"/>
  <c r="AR90" i="5"/>
  <c r="AQ91" i="5"/>
  <c r="AR91" i="5"/>
  <c r="AQ92" i="5"/>
  <c r="AR92" i="5"/>
  <c r="AQ93" i="5"/>
  <c r="AR93" i="5"/>
  <c r="AQ94" i="5"/>
  <c r="AR94" i="5"/>
  <c r="AQ95" i="5"/>
  <c r="AR95" i="5"/>
  <c r="AQ96" i="5"/>
  <c r="AR96" i="5"/>
  <c r="AQ97" i="5"/>
  <c r="AR97" i="5"/>
  <c r="AQ98" i="5"/>
  <c r="AR98" i="5"/>
  <c r="AQ99" i="5"/>
  <c r="AR99" i="5"/>
  <c r="AQ100" i="5"/>
  <c r="AR100" i="5"/>
  <c r="AQ101" i="5"/>
  <c r="AR101" i="5"/>
  <c r="AQ102" i="5"/>
  <c r="AR102" i="5"/>
  <c r="AQ103" i="5"/>
  <c r="AR103" i="5"/>
  <c r="AQ104" i="5"/>
  <c r="AR104" i="5"/>
  <c r="AQ105" i="5"/>
  <c r="AR105" i="5"/>
  <c r="AR106" i="5"/>
  <c r="AQ107" i="5"/>
  <c r="AR107" i="5"/>
  <c r="AQ108" i="5"/>
  <c r="AR108" i="5"/>
  <c r="AQ109" i="5"/>
  <c r="AR109" i="5"/>
  <c r="AQ110" i="5"/>
  <c r="AR110" i="5"/>
  <c r="AQ111" i="5"/>
  <c r="AR111" i="5"/>
  <c r="AQ112" i="5"/>
  <c r="AR112" i="5"/>
  <c r="AQ113" i="5"/>
  <c r="AR113" i="5"/>
  <c r="AQ114" i="5"/>
  <c r="AR114" i="5"/>
  <c r="AQ115" i="5"/>
  <c r="AR115" i="5"/>
  <c r="AQ116" i="5"/>
  <c r="AR116" i="5"/>
  <c r="AQ117" i="5"/>
  <c r="AR117" i="5"/>
  <c r="AQ118" i="5"/>
  <c r="AR118" i="5"/>
  <c r="AQ119" i="5"/>
  <c r="AR119" i="5"/>
  <c r="AQ120" i="5"/>
  <c r="AR120" i="5"/>
  <c r="AQ121" i="5"/>
  <c r="AR121" i="5"/>
  <c r="AQ122" i="5"/>
  <c r="AR122" i="5"/>
  <c r="AQ123" i="5"/>
  <c r="AR123" i="5"/>
  <c r="AQ124" i="5"/>
  <c r="AR124" i="5"/>
  <c r="AQ125" i="5"/>
  <c r="AR125" i="5"/>
  <c r="AQ126" i="5"/>
  <c r="AR126" i="5"/>
  <c r="AQ127" i="5"/>
  <c r="AR127" i="5"/>
  <c r="AQ128" i="5"/>
  <c r="AR128" i="5"/>
  <c r="AQ129" i="5"/>
  <c r="AR129" i="5"/>
  <c r="AQ130" i="5"/>
  <c r="AR130" i="5"/>
  <c r="AQ131" i="5"/>
  <c r="AR131" i="5"/>
  <c r="AQ132" i="5"/>
  <c r="AR132" i="5"/>
  <c r="AQ133" i="5"/>
  <c r="AR133" i="5"/>
  <c r="AR80" i="5"/>
  <c r="AR78" i="5"/>
  <c r="AR77" i="5"/>
  <c r="AS80" i="5"/>
  <c r="AS81" i="5"/>
  <c r="Q75" i="5"/>
  <c r="P71" i="5"/>
  <c r="P70" i="5"/>
  <c r="P69" i="5"/>
  <c r="P68" i="5"/>
  <c r="P67" i="5"/>
  <c r="P72" i="5"/>
  <c r="P73" i="5"/>
  <c r="AH81" i="5"/>
  <c r="AK81" i="5"/>
  <c r="AH82" i="5"/>
  <c r="AK82" i="5"/>
  <c r="AH83" i="5"/>
  <c r="AK83" i="5"/>
  <c r="AH84" i="5"/>
  <c r="AK84" i="5"/>
  <c r="AH85" i="5"/>
  <c r="AK85" i="5"/>
  <c r="AJ86" i="5"/>
  <c r="AK86" i="5"/>
  <c r="AJ87" i="5"/>
  <c r="AK87" i="5"/>
  <c r="AJ88" i="5"/>
  <c r="AK88" i="5"/>
  <c r="AJ89" i="5"/>
  <c r="AK89" i="5"/>
  <c r="AJ90" i="5"/>
  <c r="AK90" i="5"/>
  <c r="AJ91" i="5"/>
  <c r="AK91" i="5"/>
  <c r="AJ92" i="5"/>
  <c r="AK92" i="5"/>
  <c r="AJ93" i="5"/>
  <c r="AK93" i="5"/>
  <c r="AJ94" i="5"/>
  <c r="AK94" i="5"/>
  <c r="AJ95" i="5"/>
  <c r="AK95" i="5"/>
  <c r="AJ96" i="5"/>
  <c r="AK96" i="5"/>
  <c r="AJ97" i="5"/>
  <c r="AK97" i="5"/>
  <c r="AJ98" i="5"/>
  <c r="AK98" i="5"/>
  <c r="AJ99" i="5"/>
  <c r="AK99" i="5"/>
  <c r="AJ100" i="5"/>
  <c r="AK100" i="5"/>
  <c r="AJ101" i="5"/>
  <c r="AK101" i="5"/>
  <c r="AJ102" i="5"/>
  <c r="AK102" i="5"/>
  <c r="AJ103" i="5"/>
  <c r="AK103" i="5"/>
  <c r="AJ104" i="5"/>
  <c r="AK104" i="5"/>
  <c r="AJ105" i="5"/>
  <c r="AK105" i="5"/>
  <c r="AJ106" i="5"/>
  <c r="AK106" i="5"/>
  <c r="AJ107" i="5"/>
  <c r="AK107" i="5"/>
  <c r="AJ108" i="5"/>
  <c r="AK108" i="5"/>
  <c r="AJ109" i="5"/>
  <c r="AK109" i="5"/>
  <c r="AJ110" i="5"/>
  <c r="AK110" i="5"/>
  <c r="AJ111" i="5"/>
  <c r="AK111" i="5"/>
  <c r="AJ112" i="5"/>
  <c r="AK112" i="5"/>
  <c r="AJ113" i="5"/>
  <c r="AK113" i="5"/>
  <c r="AJ114" i="5"/>
  <c r="AK114" i="5"/>
  <c r="AJ115" i="5"/>
  <c r="AK115" i="5"/>
  <c r="AK116" i="5"/>
  <c r="AJ117" i="5"/>
  <c r="AK117" i="5"/>
  <c r="AJ118" i="5"/>
  <c r="AK118" i="5"/>
  <c r="AJ119" i="5"/>
  <c r="AK119" i="5"/>
  <c r="AJ120" i="5"/>
  <c r="AK120" i="5"/>
  <c r="AJ121" i="5"/>
  <c r="AK121" i="5"/>
  <c r="AJ122" i="5"/>
  <c r="AK122" i="5"/>
  <c r="AJ123" i="5"/>
  <c r="AK123" i="5"/>
  <c r="AJ124" i="5"/>
  <c r="AK124" i="5"/>
  <c r="AJ125" i="5"/>
  <c r="AK125" i="5"/>
  <c r="AJ126" i="5"/>
  <c r="AK126" i="5"/>
  <c r="AJ127" i="5"/>
  <c r="AK127" i="5"/>
  <c r="AJ128" i="5"/>
  <c r="AK128" i="5"/>
  <c r="AJ129" i="5"/>
  <c r="AK129" i="5"/>
  <c r="AJ130" i="5"/>
  <c r="AK130" i="5"/>
  <c r="AJ131" i="5"/>
  <c r="AK131" i="5"/>
  <c r="AJ132" i="5"/>
  <c r="AK132" i="5"/>
  <c r="AJ133" i="5"/>
  <c r="AK133" i="5"/>
  <c r="AK80" i="5"/>
  <c r="AK78" i="5"/>
  <c r="AK77" i="5"/>
  <c r="AL80" i="5"/>
  <c r="AL81" i="5"/>
  <c r="P75" i="5"/>
  <c r="O71" i="5"/>
  <c r="O70" i="5"/>
  <c r="O69" i="5"/>
  <c r="O72" i="5"/>
  <c r="O73" i="5"/>
  <c r="AA81" i="5"/>
  <c r="AD81" i="5"/>
  <c r="AA82" i="5"/>
  <c r="AD82" i="5"/>
  <c r="AA83" i="5"/>
  <c r="AD83" i="5"/>
  <c r="AA84" i="5"/>
  <c r="AD84" i="5"/>
  <c r="AA85" i="5"/>
  <c r="AD85" i="5"/>
  <c r="AC86" i="5"/>
  <c r="AD86" i="5"/>
  <c r="AC87" i="5"/>
  <c r="AD87" i="5"/>
  <c r="AC88" i="5"/>
  <c r="AD88" i="5"/>
  <c r="AC89" i="5"/>
  <c r="AD89" i="5"/>
  <c r="AC90" i="5"/>
  <c r="AD90" i="5"/>
  <c r="AC91" i="5"/>
  <c r="AD91" i="5"/>
  <c r="AC92" i="5"/>
  <c r="AD92" i="5"/>
  <c r="AC93" i="5"/>
  <c r="AD93" i="5"/>
  <c r="AC94" i="5"/>
  <c r="AD94" i="5"/>
  <c r="AC95" i="5"/>
  <c r="AD95" i="5"/>
  <c r="AC96" i="5"/>
  <c r="AD96" i="5"/>
  <c r="AC97" i="5"/>
  <c r="AD97" i="5"/>
  <c r="AC98" i="5"/>
  <c r="AD98" i="5"/>
  <c r="AC99" i="5"/>
  <c r="AD99" i="5"/>
  <c r="AC100" i="5"/>
  <c r="AD100" i="5"/>
  <c r="AC101" i="5"/>
  <c r="AD101" i="5"/>
  <c r="AC102" i="5"/>
  <c r="AD102" i="5"/>
  <c r="AC103" i="5"/>
  <c r="AD103" i="5"/>
  <c r="AC104" i="5"/>
  <c r="AD104" i="5"/>
  <c r="AC105" i="5"/>
  <c r="AD105" i="5"/>
  <c r="AC106" i="5"/>
  <c r="AD106" i="5"/>
  <c r="AC107" i="5"/>
  <c r="AD107" i="5"/>
  <c r="AC108" i="5"/>
  <c r="AD108" i="5"/>
  <c r="AC109" i="5"/>
  <c r="AD109" i="5"/>
  <c r="AC110" i="5"/>
  <c r="AD110" i="5"/>
  <c r="AC111" i="5"/>
  <c r="AD111" i="5"/>
  <c r="AC112" i="5"/>
  <c r="AD112" i="5"/>
  <c r="AC113" i="5"/>
  <c r="AD113" i="5"/>
  <c r="AC114" i="5"/>
  <c r="AD114" i="5"/>
  <c r="AC115" i="5"/>
  <c r="AD115" i="5"/>
  <c r="AD116" i="5"/>
  <c r="AC117" i="5"/>
  <c r="AD117" i="5"/>
  <c r="AC118" i="5"/>
  <c r="AD118" i="5"/>
  <c r="AC119" i="5"/>
  <c r="AD119" i="5"/>
  <c r="AC120" i="5"/>
  <c r="AD120" i="5"/>
  <c r="AC121" i="5"/>
  <c r="AD121" i="5"/>
  <c r="AC122" i="5"/>
  <c r="AD122" i="5"/>
  <c r="AC123" i="5"/>
  <c r="AD123" i="5"/>
  <c r="AC124" i="5"/>
  <c r="AD124" i="5"/>
  <c r="AC125" i="5"/>
  <c r="AD125" i="5"/>
  <c r="AC126" i="5"/>
  <c r="AD126" i="5"/>
  <c r="AC127" i="5"/>
  <c r="AD127" i="5"/>
  <c r="AC128" i="5"/>
  <c r="AD128" i="5"/>
  <c r="AC129" i="5"/>
  <c r="AD129" i="5"/>
  <c r="AC130" i="5"/>
  <c r="AD130" i="5"/>
  <c r="AC131" i="5"/>
  <c r="AD131" i="5"/>
  <c r="AC132" i="5"/>
  <c r="AD132" i="5"/>
  <c r="AC133" i="5"/>
  <c r="AD133" i="5"/>
  <c r="AD80" i="5"/>
  <c r="AD78" i="5"/>
  <c r="AD77" i="5"/>
  <c r="AE80" i="5"/>
  <c r="AE81" i="5"/>
  <c r="O75" i="5"/>
  <c r="N71" i="5"/>
  <c r="N70" i="5"/>
  <c r="N72" i="5"/>
  <c r="N73" i="5"/>
  <c r="T81" i="5"/>
  <c r="W81" i="5"/>
  <c r="T82" i="5"/>
  <c r="W82" i="5"/>
  <c r="T83" i="5"/>
  <c r="W83" i="5"/>
  <c r="T84" i="5"/>
  <c r="W84" i="5"/>
  <c r="T85" i="5"/>
  <c r="W85" i="5"/>
  <c r="V86" i="5"/>
  <c r="W86" i="5"/>
  <c r="V87" i="5"/>
  <c r="W87" i="5"/>
  <c r="V88" i="5"/>
  <c r="W88" i="5"/>
  <c r="V89" i="5"/>
  <c r="W89" i="5"/>
  <c r="V90" i="5"/>
  <c r="W90" i="5"/>
  <c r="V91" i="5"/>
  <c r="W91" i="5"/>
  <c r="V92" i="5"/>
  <c r="W92" i="5"/>
  <c r="V93" i="5"/>
  <c r="W93" i="5"/>
  <c r="V94" i="5"/>
  <c r="W94" i="5"/>
  <c r="V95" i="5"/>
  <c r="W95" i="5"/>
  <c r="V96" i="5"/>
  <c r="W96" i="5"/>
  <c r="V97" i="5"/>
  <c r="W97" i="5"/>
  <c r="V98" i="5"/>
  <c r="W98" i="5"/>
  <c r="V99" i="5"/>
  <c r="W99" i="5"/>
  <c r="V100" i="5"/>
  <c r="W100" i="5"/>
  <c r="V101" i="5"/>
  <c r="W101" i="5"/>
  <c r="V102" i="5"/>
  <c r="W102" i="5"/>
  <c r="V103" i="5"/>
  <c r="W103" i="5"/>
  <c r="V104" i="5"/>
  <c r="W104" i="5"/>
  <c r="V105" i="5"/>
  <c r="W105" i="5"/>
  <c r="V106" i="5"/>
  <c r="W106" i="5"/>
  <c r="V107" i="5"/>
  <c r="W107" i="5"/>
  <c r="V108" i="5"/>
  <c r="W108" i="5"/>
  <c r="V109" i="5"/>
  <c r="W109" i="5"/>
  <c r="V110" i="5"/>
  <c r="W110" i="5"/>
  <c r="V111" i="5"/>
  <c r="W111" i="5"/>
  <c r="V112" i="5"/>
  <c r="W112" i="5"/>
  <c r="V113" i="5"/>
  <c r="W113" i="5"/>
  <c r="V114" i="5"/>
  <c r="W114" i="5"/>
  <c r="V115" i="5"/>
  <c r="W115" i="5"/>
  <c r="V116" i="5"/>
  <c r="W116" i="5"/>
  <c r="V117" i="5"/>
  <c r="W117" i="5"/>
  <c r="V118" i="5"/>
  <c r="W118" i="5"/>
  <c r="V119" i="5"/>
  <c r="W119" i="5"/>
  <c r="V120" i="5"/>
  <c r="W120" i="5"/>
  <c r="V121" i="5"/>
  <c r="W121" i="5"/>
  <c r="V122" i="5"/>
  <c r="W122" i="5"/>
  <c r="V123" i="5"/>
  <c r="W123" i="5"/>
  <c r="V124" i="5"/>
  <c r="W124" i="5"/>
  <c r="V125" i="5"/>
  <c r="W125" i="5"/>
  <c r="V126" i="5"/>
  <c r="W126" i="5"/>
  <c r="V127" i="5"/>
  <c r="W127" i="5"/>
  <c r="V128" i="5"/>
  <c r="W128" i="5"/>
  <c r="V129" i="5"/>
  <c r="W129" i="5"/>
  <c r="V130" i="5"/>
  <c r="W130" i="5"/>
  <c r="V131" i="5"/>
  <c r="W131" i="5"/>
  <c r="V132" i="5"/>
  <c r="W132" i="5"/>
  <c r="V133" i="5"/>
  <c r="W133" i="5"/>
  <c r="W80" i="5"/>
  <c r="W78" i="5"/>
  <c r="W77" i="5"/>
  <c r="X80" i="5"/>
  <c r="X81" i="5"/>
  <c r="N75" i="5"/>
  <c r="M71" i="5"/>
  <c r="M70" i="5"/>
  <c r="M72" i="5"/>
  <c r="M73" i="5"/>
  <c r="M81" i="5"/>
  <c r="P81" i="5"/>
  <c r="M82" i="5"/>
  <c r="P82" i="5"/>
  <c r="M83" i="5"/>
  <c r="P83" i="5"/>
  <c r="M84" i="5"/>
  <c r="P84" i="5"/>
  <c r="M85" i="5"/>
  <c r="P85" i="5"/>
  <c r="O86" i="5"/>
  <c r="P86" i="5"/>
  <c r="O87" i="5"/>
  <c r="P87" i="5"/>
  <c r="O88" i="5"/>
  <c r="P88" i="5"/>
  <c r="O89" i="5"/>
  <c r="P89" i="5"/>
  <c r="O90" i="5"/>
  <c r="P90" i="5"/>
  <c r="O91" i="5"/>
  <c r="P91" i="5"/>
  <c r="O92" i="5"/>
  <c r="P92" i="5"/>
  <c r="O93" i="5"/>
  <c r="P93" i="5"/>
  <c r="O94" i="5"/>
  <c r="P94" i="5"/>
  <c r="O95" i="5"/>
  <c r="P95" i="5"/>
  <c r="O96" i="5"/>
  <c r="P96" i="5"/>
  <c r="O97" i="5"/>
  <c r="P97" i="5"/>
  <c r="O98" i="5"/>
  <c r="P98" i="5"/>
  <c r="O99" i="5"/>
  <c r="P99" i="5"/>
  <c r="O100" i="5"/>
  <c r="P100" i="5"/>
  <c r="O101" i="5"/>
  <c r="P101" i="5"/>
  <c r="O102" i="5"/>
  <c r="P102" i="5"/>
  <c r="O103" i="5"/>
  <c r="P103" i="5"/>
  <c r="O104" i="5"/>
  <c r="P104" i="5"/>
  <c r="O105" i="5"/>
  <c r="P105" i="5"/>
  <c r="P106" i="5"/>
  <c r="O107" i="5"/>
  <c r="P107" i="5"/>
  <c r="O108" i="5"/>
  <c r="P108" i="5"/>
  <c r="O109" i="5"/>
  <c r="P109" i="5"/>
  <c r="O110" i="5"/>
  <c r="P110" i="5"/>
  <c r="O111" i="5"/>
  <c r="P111" i="5"/>
  <c r="O112" i="5"/>
  <c r="P112" i="5"/>
  <c r="O113" i="5"/>
  <c r="P113" i="5"/>
  <c r="O114" i="5"/>
  <c r="P114" i="5"/>
  <c r="O115" i="5"/>
  <c r="P115" i="5"/>
  <c r="O116" i="5"/>
  <c r="P116" i="5"/>
  <c r="O117" i="5"/>
  <c r="P117" i="5"/>
  <c r="O118" i="5"/>
  <c r="P118" i="5"/>
  <c r="O119" i="5"/>
  <c r="P119" i="5"/>
  <c r="O120" i="5"/>
  <c r="P120" i="5"/>
  <c r="O121" i="5"/>
  <c r="P121" i="5"/>
  <c r="O122" i="5"/>
  <c r="P122" i="5"/>
  <c r="O123" i="5"/>
  <c r="P123" i="5"/>
  <c r="O124" i="5"/>
  <c r="P124" i="5"/>
  <c r="O125" i="5"/>
  <c r="P125" i="5"/>
  <c r="O126" i="5"/>
  <c r="P126" i="5"/>
  <c r="O127" i="5"/>
  <c r="P127" i="5"/>
  <c r="O128" i="5"/>
  <c r="P128" i="5"/>
  <c r="O129" i="5"/>
  <c r="P129" i="5"/>
  <c r="O130" i="5"/>
  <c r="P130" i="5"/>
  <c r="O131" i="5"/>
  <c r="P131" i="5"/>
  <c r="O132" i="5"/>
  <c r="P132" i="5"/>
  <c r="O133" i="5"/>
  <c r="P133" i="5"/>
  <c r="P80" i="5"/>
  <c r="P78" i="5"/>
  <c r="P77" i="5"/>
  <c r="Q80" i="5"/>
  <c r="Q81" i="5"/>
  <c r="M75" i="5"/>
  <c r="V134" i="5"/>
  <c r="V135" i="5"/>
  <c r="Q74" i="5"/>
  <c r="P74" i="5"/>
  <c r="O74" i="5"/>
  <c r="N74" i="5"/>
  <c r="AQ134" i="5"/>
  <c r="AQ135" i="5"/>
  <c r="AR135" i="5"/>
  <c r="AP87" i="5"/>
  <c r="AP88" i="5"/>
  <c r="AP89" i="5"/>
  <c r="AP90" i="5"/>
  <c r="AP91" i="5"/>
  <c r="AP92" i="5"/>
  <c r="AP93" i="5"/>
  <c r="AP94" i="5"/>
  <c r="AP95" i="5"/>
  <c r="AP96" i="5"/>
  <c r="AP97" i="5"/>
  <c r="AP98" i="5"/>
  <c r="AP99" i="5"/>
  <c r="AP100" i="5"/>
  <c r="AP101" i="5"/>
  <c r="AP102" i="5"/>
  <c r="AP103" i="5"/>
  <c r="AP104" i="5"/>
  <c r="AP105" i="5"/>
  <c r="AP106" i="5"/>
  <c r="AP107" i="5"/>
  <c r="AP108" i="5"/>
  <c r="AP109" i="5"/>
  <c r="AP110" i="5"/>
  <c r="AP111" i="5"/>
  <c r="AP112" i="5"/>
  <c r="AP113" i="5"/>
  <c r="AP114" i="5"/>
  <c r="AP115" i="5"/>
  <c r="AP116" i="5"/>
  <c r="AP117" i="5"/>
  <c r="AP118" i="5"/>
  <c r="AP119" i="5"/>
  <c r="AP120" i="5"/>
  <c r="AP121" i="5"/>
  <c r="AP122" i="5"/>
  <c r="AP123" i="5"/>
  <c r="AP124" i="5"/>
  <c r="AP125" i="5"/>
  <c r="AP126" i="5"/>
  <c r="AP127" i="5"/>
  <c r="AP128" i="5"/>
  <c r="AP129" i="5"/>
  <c r="AP130" i="5"/>
  <c r="AP131" i="5"/>
  <c r="AP132" i="5"/>
  <c r="AP133" i="5"/>
  <c r="AP134" i="5"/>
  <c r="AP135" i="5"/>
  <c r="AR134" i="5"/>
  <c r="AN81" i="5"/>
  <c r="AN82" i="5"/>
  <c r="AN83" i="5"/>
  <c r="AN84" i="5"/>
  <c r="AN85" i="5"/>
  <c r="AN86" i="5"/>
  <c r="AN87" i="5"/>
  <c r="AN88" i="5"/>
  <c r="AN89" i="5"/>
  <c r="AN90" i="5"/>
  <c r="AN91" i="5"/>
  <c r="AN92" i="5"/>
  <c r="AN93" i="5"/>
  <c r="AN94" i="5"/>
  <c r="AN95" i="5"/>
  <c r="AN96" i="5"/>
  <c r="AN97" i="5"/>
  <c r="AN98" i="5"/>
  <c r="AN99" i="5"/>
  <c r="AN100" i="5"/>
  <c r="AN101" i="5"/>
  <c r="AN102" i="5"/>
  <c r="AN103" i="5"/>
  <c r="AN104" i="5"/>
  <c r="AN105" i="5"/>
  <c r="AN106" i="5"/>
  <c r="AN107" i="5"/>
  <c r="AN108" i="5"/>
  <c r="AN109" i="5"/>
  <c r="AN110" i="5"/>
  <c r="AN111" i="5"/>
  <c r="AN112" i="5"/>
  <c r="AN113" i="5"/>
  <c r="AN114" i="5"/>
  <c r="AN115" i="5"/>
  <c r="AN116" i="5"/>
  <c r="AN117" i="5"/>
  <c r="AN118" i="5"/>
  <c r="AN119" i="5"/>
  <c r="AN120" i="5"/>
  <c r="AN121" i="5"/>
  <c r="AN122" i="5"/>
  <c r="AN123" i="5"/>
  <c r="AN124" i="5"/>
  <c r="AN125" i="5"/>
  <c r="AN126" i="5"/>
  <c r="AN127" i="5"/>
  <c r="AN128" i="5"/>
  <c r="AN129" i="5"/>
  <c r="AP78" i="5"/>
  <c r="AP77" i="5"/>
  <c r="AJ134" i="5"/>
  <c r="AJ135" i="5"/>
  <c r="AK135" i="5"/>
  <c r="AI87" i="5"/>
  <c r="AI88" i="5"/>
  <c r="AI89" i="5"/>
  <c r="AI90" i="5"/>
  <c r="AI91" i="5"/>
  <c r="AI92" i="5"/>
  <c r="AI93" i="5"/>
  <c r="AI94" i="5"/>
  <c r="AI95" i="5"/>
  <c r="AI96" i="5"/>
  <c r="AI97" i="5"/>
  <c r="AI98" i="5"/>
  <c r="AI99" i="5"/>
  <c r="AI100" i="5"/>
  <c r="AI101" i="5"/>
  <c r="AI102" i="5"/>
  <c r="AI103" i="5"/>
  <c r="AI104" i="5"/>
  <c r="AI105" i="5"/>
  <c r="AI106" i="5"/>
  <c r="AI107" i="5"/>
  <c r="AI108" i="5"/>
  <c r="AI109" i="5"/>
  <c r="AI110" i="5"/>
  <c r="AI111" i="5"/>
  <c r="AI112" i="5"/>
  <c r="AI113" i="5"/>
  <c r="AI114" i="5"/>
  <c r="AI115" i="5"/>
  <c r="AI116" i="5"/>
  <c r="AI117" i="5"/>
  <c r="AI118" i="5"/>
  <c r="AI119" i="5"/>
  <c r="AI120" i="5"/>
  <c r="AI121" i="5"/>
  <c r="AI122" i="5"/>
  <c r="AI123" i="5"/>
  <c r="AI124" i="5"/>
  <c r="AI125" i="5"/>
  <c r="AI126" i="5"/>
  <c r="AI127" i="5"/>
  <c r="AI128" i="5"/>
  <c r="AI129" i="5"/>
  <c r="AI130" i="5"/>
  <c r="AI131" i="5"/>
  <c r="AI132" i="5"/>
  <c r="AI133" i="5"/>
  <c r="AI134" i="5"/>
  <c r="AI135" i="5"/>
  <c r="AK134"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I78" i="5"/>
  <c r="AI77" i="5"/>
  <c r="AC134" i="5"/>
  <c r="AC135" i="5"/>
  <c r="AD135" i="5"/>
  <c r="AB87" i="5"/>
  <c r="AB88" i="5"/>
  <c r="AB89" i="5"/>
  <c r="AB90" i="5"/>
  <c r="AB91" i="5"/>
  <c r="AB92" i="5"/>
  <c r="AB93" i="5"/>
  <c r="AB94" i="5"/>
  <c r="AB95" i="5"/>
  <c r="AB96" i="5"/>
  <c r="AB97" i="5"/>
  <c r="AB98" i="5"/>
  <c r="AB99" i="5"/>
  <c r="AB100" i="5"/>
  <c r="AB101" i="5"/>
  <c r="AB102" i="5"/>
  <c r="AB103" i="5"/>
  <c r="AB104" i="5"/>
  <c r="AB105" i="5"/>
  <c r="AB106" i="5"/>
  <c r="AB107" i="5"/>
  <c r="AB108" i="5"/>
  <c r="AB109" i="5"/>
  <c r="AB110" i="5"/>
  <c r="AB111" i="5"/>
  <c r="AB112" i="5"/>
  <c r="AB113" i="5"/>
  <c r="AB114" i="5"/>
  <c r="AB115" i="5"/>
  <c r="AB116" i="5"/>
  <c r="AB117" i="5"/>
  <c r="AB118" i="5"/>
  <c r="AB119" i="5"/>
  <c r="AB120" i="5"/>
  <c r="AB121" i="5"/>
  <c r="AB122" i="5"/>
  <c r="AB123" i="5"/>
  <c r="AB124" i="5"/>
  <c r="AB125" i="5"/>
  <c r="AB126" i="5"/>
  <c r="AB127" i="5"/>
  <c r="AB128" i="5"/>
  <c r="AB129" i="5"/>
  <c r="AB130" i="5"/>
  <c r="AB131" i="5"/>
  <c r="AB132" i="5"/>
  <c r="AB133" i="5"/>
  <c r="AB134" i="5"/>
  <c r="AB135" i="5"/>
  <c r="AD134" i="5"/>
  <c r="Z81" i="5"/>
  <c r="Z82" i="5"/>
  <c r="Z83" i="5"/>
  <c r="Z84" i="5"/>
  <c r="Z85" i="5"/>
  <c r="Z86" i="5"/>
  <c r="Z87" i="5"/>
  <c r="Z88" i="5"/>
  <c r="Z89" i="5"/>
  <c r="Z90" i="5"/>
  <c r="Z91" i="5"/>
  <c r="Z92" i="5"/>
  <c r="Z93" i="5"/>
  <c r="Z94" i="5"/>
  <c r="Z95" i="5"/>
  <c r="Z96" i="5"/>
  <c r="Z97" i="5"/>
  <c r="Z98" i="5"/>
  <c r="Z99" i="5"/>
  <c r="Z100" i="5"/>
  <c r="Z101" i="5"/>
  <c r="Z102" i="5"/>
  <c r="Z103" i="5"/>
  <c r="Z104" i="5"/>
  <c r="Z105" i="5"/>
  <c r="Z106" i="5"/>
  <c r="Z107" i="5"/>
  <c r="Z108" i="5"/>
  <c r="Z109" i="5"/>
  <c r="Z110" i="5"/>
  <c r="Z111" i="5"/>
  <c r="Z112" i="5"/>
  <c r="Z113" i="5"/>
  <c r="Z114" i="5"/>
  <c r="Z115" i="5"/>
  <c r="Z116" i="5"/>
  <c r="Z117" i="5"/>
  <c r="Z118" i="5"/>
  <c r="Z119" i="5"/>
  <c r="Z120" i="5"/>
  <c r="Z121" i="5"/>
  <c r="Z122" i="5"/>
  <c r="Z123" i="5"/>
  <c r="Z124" i="5"/>
  <c r="Z125" i="5"/>
  <c r="Z126" i="5"/>
  <c r="Z127" i="5"/>
  <c r="Z128" i="5"/>
  <c r="Z129" i="5"/>
  <c r="AB78" i="5"/>
  <c r="AB77" i="5"/>
  <c r="W135" i="5"/>
  <c r="U87" i="5"/>
  <c r="U88" i="5"/>
  <c r="U89" i="5"/>
  <c r="U90" i="5"/>
  <c r="U91" i="5"/>
  <c r="U92" i="5"/>
  <c r="U93" i="5"/>
  <c r="U94" i="5"/>
  <c r="U95" i="5"/>
  <c r="U96" i="5"/>
  <c r="U97" i="5"/>
  <c r="U98" i="5"/>
  <c r="U99" i="5"/>
  <c r="U100" i="5"/>
  <c r="U101" i="5"/>
  <c r="U102" i="5"/>
  <c r="U103" i="5"/>
  <c r="U104" i="5"/>
  <c r="U105" i="5"/>
  <c r="U106" i="5"/>
  <c r="U107" i="5"/>
  <c r="U108" i="5"/>
  <c r="U109" i="5"/>
  <c r="U110" i="5"/>
  <c r="U111" i="5"/>
  <c r="U112" i="5"/>
  <c r="U113" i="5"/>
  <c r="U114" i="5"/>
  <c r="U115" i="5"/>
  <c r="U116" i="5"/>
  <c r="U117" i="5"/>
  <c r="U118" i="5"/>
  <c r="U119" i="5"/>
  <c r="U120" i="5"/>
  <c r="U121" i="5"/>
  <c r="U122" i="5"/>
  <c r="U123" i="5"/>
  <c r="U124" i="5"/>
  <c r="U125" i="5"/>
  <c r="U126" i="5"/>
  <c r="U127" i="5"/>
  <c r="U128" i="5"/>
  <c r="U129" i="5"/>
  <c r="U130" i="5"/>
  <c r="U131" i="5"/>
  <c r="U132" i="5"/>
  <c r="U133" i="5"/>
  <c r="U134" i="5"/>
  <c r="U135" i="5"/>
  <c r="W134" i="5"/>
  <c r="S81" i="5"/>
  <c r="S82" i="5"/>
  <c r="S83" i="5"/>
  <c r="S84" i="5"/>
  <c r="S85" i="5"/>
  <c r="S86" i="5"/>
  <c r="S87" i="5"/>
  <c r="S88" i="5"/>
  <c r="S89" i="5"/>
  <c r="S90" i="5"/>
  <c r="S91" i="5"/>
  <c r="S92" i="5"/>
  <c r="S93" i="5"/>
  <c r="S94" i="5"/>
  <c r="S95" i="5"/>
  <c r="S96" i="5"/>
  <c r="S97" i="5"/>
  <c r="S98" i="5"/>
  <c r="S99" i="5"/>
  <c r="S100" i="5"/>
  <c r="S101" i="5"/>
  <c r="S102" i="5"/>
  <c r="S103" i="5"/>
  <c r="S104" i="5"/>
  <c r="S105" i="5"/>
  <c r="S106" i="5"/>
  <c r="S107" i="5"/>
  <c r="S108" i="5"/>
  <c r="S109" i="5"/>
  <c r="S110" i="5"/>
  <c r="S111" i="5"/>
  <c r="S112" i="5"/>
  <c r="S113" i="5"/>
  <c r="S114" i="5"/>
  <c r="S115" i="5"/>
  <c r="S116" i="5"/>
  <c r="S117" i="5"/>
  <c r="S118" i="5"/>
  <c r="S119" i="5"/>
  <c r="S120" i="5"/>
  <c r="S121" i="5"/>
  <c r="S122" i="5"/>
  <c r="S123" i="5"/>
  <c r="S124" i="5"/>
  <c r="S125" i="5"/>
  <c r="S126" i="5"/>
  <c r="S127" i="5"/>
  <c r="S128" i="5"/>
  <c r="S129" i="5"/>
  <c r="U78" i="5"/>
  <c r="U77" i="5"/>
  <c r="M74" i="5"/>
  <c r="L81" i="5"/>
  <c r="L82" i="5"/>
  <c r="L83" i="5"/>
  <c r="L84" i="5"/>
  <c r="L85" i="5"/>
  <c r="O134" i="5"/>
  <c r="O135" i="5"/>
  <c r="N77" i="5"/>
  <c r="P134" i="5"/>
  <c r="P135" i="5"/>
  <c r="N78" i="5"/>
  <c r="N87" i="5"/>
  <c r="N88" i="5"/>
  <c r="N89" i="5"/>
  <c r="N90" i="5"/>
  <c r="N91" i="5"/>
  <c r="N92" i="5"/>
  <c r="N93" i="5"/>
  <c r="N94" i="5"/>
  <c r="N95" i="5"/>
  <c r="N96" i="5"/>
  <c r="N97" i="5"/>
  <c r="N98" i="5"/>
  <c r="N99" i="5"/>
  <c r="N100" i="5"/>
  <c r="N101" i="5"/>
  <c r="N102" i="5"/>
  <c r="N103" i="5"/>
  <c r="N104" i="5"/>
  <c r="N105" i="5"/>
  <c r="N106" i="5"/>
  <c r="N107" i="5"/>
  <c r="N108" i="5"/>
  <c r="N109" i="5"/>
  <c r="N110" i="5"/>
  <c r="N111" i="5"/>
  <c r="N112" i="5"/>
  <c r="N113" i="5"/>
  <c r="N114" i="5"/>
  <c r="N115" i="5"/>
  <c r="N116" i="5"/>
  <c r="N117" i="5"/>
  <c r="N118" i="5"/>
  <c r="N119" i="5"/>
  <c r="N120" i="5"/>
  <c r="N121" i="5"/>
  <c r="N122" i="5"/>
  <c r="N123" i="5"/>
  <c r="N124" i="5"/>
  <c r="N125" i="5"/>
  <c r="N126" i="5"/>
  <c r="N127" i="5"/>
  <c r="N128" i="5"/>
  <c r="N129" i="5"/>
  <c r="N130" i="5"/>
  <c r="N131" i="5"/>
  <c r="N132" i="5"/>
  <c r="N133" i="5"/>
  <c r="N134" i="5"/>
  <c r="N13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L127" i="5"/>
  <c r="L128" i="5"/>
  <c r="L129" i="5"/>
  <c r="K16" i="5"/>
  <c r="K17" i="5"/>
  <c r="K18" i="5"/>
  <c r="K19" i="5"/>
  <c r="K20" i="5"/>
  <c r="K21" i="5"/>
  <c r="K22" i="5"/>
  <c r="K23" i="5"/>
  <c r="K24" i="5"/>
  <c r="K25" i="5"/>
  <c r="K15" i="5"/>
  <c r="K26" i="5"/>
  <c r="E441" i="4"/>
  <c r="E453" i="4"/>
  <c r="E384" i="4"/>
  <c r="E382" i="4"/>
  <c r="E390" i="4"/>
  <c r="E392" i="4"/>
  <c r="E377" i="4"/>
  <c r="J396" i="4"/>
  <c r="J397" i="4"/>
  <c r="J398" i="4"/>
  <c r="J402" i="4"/>
  <c r="E381" i="4"/>
  <c r="J399" i="4"/>
  <c r="I448" i="4"/>
  <c r="K448" i="4"/>
  <c r="I449" i="4"/>
  <c r="K449" i="4"/>
  <c r="I450" i="4"/>
  <c r="K450" i="4"/>
  <c r="I451" i="4"/>
  <c r="K451" i="4"/>
  <c r="I452" i="4"/>
  <c r="K452" i="4"/>
  <c r="I453" i="4"/>
  <c r="K453" i="4"/>
  <c r="I454" i="4"/>
  <c r="K454" i="4"/>
  <c r="I455" i="4"/>
  <c r="K455" i="4"/>
  <c r="I456" i="4"/>
  <c r="K456" i="4"/>
  <c r="I457" i="4"/>
  <c r="K457" i="4"/>
  <c r="I458" i="4"/>
  <c r="K458" i="4"/>
  <c r="I459" i="4"/>
  <c r="K459" i="4"/>
  <c r="I460" i="4"/>
  <c r="K460" i="4"/>
  <c r="I461" i="4"/>
  <c r="K461" i="4"/>
  <c r="K447" i="4"/>
  <c r="J420" i="4"/>
  <c r="J421" i="4"/>
  <c r="J425" i="4"/>
  <c r="J448" i="4"/>
  <c r="J449" i="4"/>
  <c r="J450" i="4"/>
  <c r="J451" i="4"/>
  <c r="J452" i="4"/>
  <c r="J453" i="4"/>
  <c r="J454" i="4"/>
  <c r="J455" i="4"/>
  <c r="J456" i="4"/>
  <c r="J457" i="4"/>
  <c r="J458" i="4"/>
  <c r="J459" i="4"/>
  <c r="J460" i="4"/>
  <c r="J461" i="4"/>
  <c r="J447" i="4"/>
  <c r="E457" i="4"/>
  <c r="E458" i="4"/>
  <c r="E459" i="4"/>
  <c r="E460" i="4"/>
  <c r="E461" i="4"/>
  <c r="E463" i="4"/>
  <c r="C457" i="4"/>
  <c r="F457" i="4"/>
  <c r="G457" i="4"/>
  <c r="C458" i="4"/>
  <c r="F458" i="4"/>
  <c r="G458" i="4"/>
  <c r="C459" i="4"/>
  <c r="F459" i="4"/>
  <c r="G459" i="4"/>
  <c r="C460" i="4"/>
  <c r="F460" i="4"/>
  <c r="G460" i="4"/>
  <c r="C461" i="4"/>
  <c r="F461" i="4"/>
  <c r="G461" i="4"/>
  <c r="B456" i="4"/>
  <c r="F456" i="4"/>
  <c r="G456" i="4"/>
  <c r="G463" i="4"/>
  <c r="F463" i="4"/>
  <c r="F462" i="4"/>
  <c r="G462" i="4"/>
  <c r="E462" i="4"/>
  <c r="D396" i="4"/>
  <c r="D397" i="4"/>
  <c r="B444" i="4"/>
  <c r="F444" i="4"/>
  <c r="C445" i="4"/>
  <c r="F445" i="4"/>
  <c r="C446" i="4"/>
  <c r="F446" i="4"/>
  <c r="C447" i="4"/>
  <c r="F447" i="4"/>
  <c r="C448" i="4"/>
  <c r="F448" i="4"/>
  <c r="C449" i="4"/>
  <c r="F449" i="4"/>
  <c r="F450" i="4"/>
  <c r="G444" i="4"/>
  <c r="E445" i="4"/>
  <c r="G445" i="4"/>
  <c r="E446" i="4"/>
  <c r="G446" i="4"/>
  <c r="E447" i="4"/>
  <c r="G447" i="4"/>
  <c r="E448" i="4"/>
  <c r="G448" i="4"/>
  <c r="E449" i="4"/>
  <c r="G449" i="4"/>
  <c r="G450" i="4"/>
  <c r="E450" i="4"/>
  <c r="F451" i="4"/>
  <c r="G451" i="4"/>
  <c r="E451" i="4"/>
  <c r="J400" i="4"/>
  <c r="B445" i="4"/>
  <c r="B446" i="4"/>
  <c r="D446" i="4"/>
  <c r="B447" i="4"/>
  <c r="D447" i="4"/>
  <c r="B448" i="4"/>
  <c r="D448" i="4"/>
  <c r="B449" i="4"/>
  <c r="D449" i="4"/>
  <c r="C451" i="4"/>
  <c r="B451" i="4"/>
  <c r="D445" i="4"/>
  <c r="D444" i="4"/>
  <c r="J423" i="4"/>
  <c r="J424" i="4"/>
  <c r="J428" i="4"/>
  <c r="J426" i="4"/>
  <c r="B457" i="4"/>
  <c r="J401" i="4"/>
  <c r="J405" i="4"/>
  <c r="J403" i="4"/>
  <c r="B458" i="4"/>
  <c r="B459" i="4"/>
  <c r="B460" i="4"/>
  <c r="B461" i="4"/>
  <c r="C463" i="4"/>
  <c r="B463" i="4"/>
  <c r="D457" i="4"/>
  <c r="D458" i="4"/>
  <c r="D459" i="4"/>
  <c r="D460" i="4"/>
  <c r="D461" i="4"/>
  <c r="D456" i="4"/>
  <c r="D394" i="4"/>
  <c r="D401" i="4"/>
  <c r="D395" i="4"/>
  <c r="D402" i="4"/>
  <c r="D403" i="4"/>
  <c r="D404" i="4"/>
  <c r="J404" i="4"/>
  <c r="J427" i="4"/>
  <c r="D405" i="4"/>
  <c r="E380" i="4"/>
  <c r="D423" i="4"/>
  <c r="D418" i="4"/>
  <c r="D419" i="4"/>
  <c r="D420" i="4"/>
  <c r="D421" i="4"/>
  <c r="D425" i="4"/>
  <c r="D426" i="4"/>
  <c r="N313" i="4"/>
  <c r="O313" i="4"/>
  <c r="C332" i="4"/>
  <c r="M307" i="4"/>
  <c r="F330" i="4"/>
  <c r="P313" i="4"/>
  <c r="O312" i="4"/>
  <c r="F329" i="4"/>
  <c r="P312" i="4"/>
  <c r="O311" i="4"/>
  <c r="P311" i="4"/>
  <c r="O310" i="4"/>
  <c r="P310" i="4"/>
  <c r="O309" i="4"/>
  <c r="P309" i="4"/>
  <c r="N308" i="4"/>
  <c r="O308" i="4"/>
  <c r="P308" i="4"/>
  <c r="Q308" i="4"/>
  <c r="Q309" i="4"/>
  <c r="Q310" i="4"/>
  <c r="Q311" i="4"/>
  <c r="Q312" i="4"/>
  <c r="Q313" i="4"/>
  <c r="L307" i="4"/>
  <c r="L308" i="4"/>
  <c r="F331" i="4"/>
  <c r="G190" i="4"/>
  <c r="E283" i="4"/>
  <c r="E284" i="4"/>
  <c r="E285" i="4"/>
  <c r="E286" i="4"/>
  <c r="E287" i="4"/>
  <c r="E288" i="4"/>
  <c r="E289" i="4"/>
  <c r="E290" i="4"/>
  <c r="E291" i="4"/>
  <c r="E292" i="4"/>
  <c r="E293" i="4"/>
  <c r="E294" i="4"/>
  <c r="E295" i="4"/>
  <c r="B258" i="4"/>
  <c r="B259" i="4"/>
  <c r="B260" i="4"/>
  <c r="B261" i="4"/>
  <c r="B262" i="4"/>
  <c r="B263" i="4"/>
  <c r="B264" i="4"/>
  <c r="B265" i="4"/>
  <c r="B266" i="4"/>
  <c r="B267" i="4"/>
  <c r="B268" i="4"/>
  <c r="B269" i="4"/>
  <c r="B270" i="4"/>
  <c r="B271" i="4"/>
  <c r="B272" i="4"/>
  <c r="B273" i="4"/>
  <c r="B274" i="4"/>
  <c r="B275" i="4"/>
  <c r="B276" i="4"/>
  <c r="B277" i="4"/>
  <c r="B257" i="4"/>
  <c r="F295" i="4"/>
  <c r="C258" i="4"/>
  <c r="C259" i="4"/>
  <c r="C260" i="4"/>
  <c r="C261" i="4"/>
  <c r="C262" i="4"/>
  <c r="C263" i="4"/>
  <c r="C264" i="4"/>
  <c r="C265" i="4"/>
  <c r="C266" i="4"/>
  <c r="C267" i="4"/>
  <c r="C268" i="4"/>
  <c r="C269" i="4"/>
  <c r="C270" i="4"/>
  <c r="C271" i="4"/>
  <c r="C272" i="4"/>
  <c r="C273" i="4"/>
  <c r="C274" i="4"/>
  <c r="C275" i="4"/>
  <c r="C276" i="4"/>
  <c r="C277" i="4"/>
  <c r="C257" i="4"/>
  <c r="G29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F281" i="4"/>
  <c r="G281" i="4"/>
  <c r="F282" i="4"/>
  <c r="G282" i="4"/>
  <c r="F283" i="4"/>
  <c r="G283" i="4"/>
  <c r="F284" i="4"/>
  <c r="G284" i="4"/>
  <c r="F285" i="4"/>
  <c r="G285" i="4"/>
  <c r="F286" i="4"/>
  <c r="G286" i="4"/>
  <c r="F287" i="4"/>
  <c r="G287" i="4"/>
  <c r="F288" i="4"/>
  <c r="G288" i="4"/>
  <c r="F289" i="4"/>
  <c r="G289" i="4"/>
  <c r="F290" i="4"/>
  <c r="G290" i="4"/>
  <c r="F291" i="4"/>
  <c r="G291" i="4"/>
  <c r="F292" i="4"/>
  <c r="G292" i="4"/>
  <c r="F293" i="4"/>
  <c r="G293" i="4"/>
  <c r="F294" i="4"/>
  <c r="G294"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55" i="4"/>
  <c r="C280" i="4"/>
  <c r="D258" i="4"/>
  <c r="D259" i="4"/>
  <c r="D260" i="4"/>
  <c r="D261" i="4"/>
  <c r="D262" i="4"/>
  <c r="D263" i="4"/>
  <c r="D264" i="4"/>
  <c r="D265" i="4"/>
  <c r="D266" i="4"/>
  <c r="D267" i="4"/>
  <c r="D268" i="4"/>
  <c r="D269" i="4"/>
  <c r="D270" i="4"/>
  <c r="D271" i="4"/>
  <c r="D272" i="4"/>
  <c r="D273" i="4"/>
  <c r="D274" i="4"/>
  <c r="D275" i="4"/>
  <c r="D276" i="4"/>
  <c r="D277" i="4"/>
  <c r="D257" i="4"/>
  <c r="D280" i="4"/>
  <c r="B280" i="4"/>
  <c r="B279" i="4"/>
  <c r="C279" i="4"/>
  <c r="D279" i="4"/>
  <c r="D278" i="4"/>
  <c r="C278" i="4"/>
  <c r="B278" i="4"/>
  <c r="F24" i="4"/>
  <c r="B111" i="4"/>
  <c r="I75" i="4"/>
  <c r="I94" i="4"/>
  <c r="I113" i="4"/>
  <c r="I114" i="4"/>
  <c r="I118" i="4"/>
  <c r="I119" i="4"/>
  <c r="I120" i="4"/>
  <c r="I121" i="4"/>
  <c r="I122" i="4"/>
  <c r="I125" i="4"/>
  <c r="H125" i="4"/>
  <c r="C75" i="4"/>
  <c r="C94" i="4"/>
  <c r="C113" i="4"/>
  <c r="C114" i="4"/>
  <c r="C118" i="4"/>
  <c r="C119" i="4"/>
  <c r="C120" i="4"/>
  <c r="C121" i="4"/>
  <c r="C122" i="4"/>
  <c r="C125" i="4"/>
  <c r="B118" i="4"/>
  <c r="B119" i="4"/>
  <c r="B120" i="4"/>
  <c r="B121" i="4"/>
  <c r="B125" i="4"/>
  <c r="J125" i="4"/>
  <c r="D125" i="4"/>
  <c r="F19" i="4"/>
  <c r="B92" i="4"/>
  <c r="H106" i="4"/>
  <c r="I95" i="4"/>
  <c r="I99" i="4"/>
  <c r="I100" i="4"/>
  <c r="I101" i="4"/>
  <c r="I102" i="4"/>
  <c r="I103" i="4"/>
  <c r="I106" i="4"/>
  <c r="J106" i="4"/>
  <c r="B99" i="4"/>
  <c r="B100" i="4"/>
  <c r="B101" i="4"/>
  <c r="B102" i="4"/>
  <c r="B106" i="4"/>
  <c r="C95" i="4"/>
  <c r="C99" i="4"/>
  <c r="C100" i="4"/>
  <c r="C101" i="4"/>
  <c r="C102" i="4"/>
  <c r="C103" i="4"/>
  <c r="C106" i="4"/>
  <c r="D106" i="4"/>
  <c r="J108" i="4"/>
  <c r="F14" i="4"/>
  <c r="B73" i="4"/>
  <c r="I76" i="4"/>
  <c r="I80" i="4"/>
  <c r="I81" i="4"/>
  <c r="I82" i="4"/>
  <c r="I83" i="4"/>
  <c r="I84" i="4"/>
  <c r="I87" i="4"/>
  <c r="H87" i="4"/>
  <c r="C76" i="4"/>
  <c r="C80" i="4"/>
  <c r="C81" i="4"/>
  <c r="C82" i="4"/>
  <c r="C83" i="4"/>
  <c r="C84" i="4"/>
  <c r="C87" i="4"/>
  <c r="B80" i="4"/>
  <c r="B81" i="4"/>
  <c r="B82" i="4"/>
  <c r="B83" i="4"/>
  <c r="B87" i="4"/>
  <c r="J87" i="4"/>
  <c r="D87" i="4"/>
  <c r="E202" i="3"/>
  <c r="G207" i="3"/>
  <c r="J207" i="3"/>
  <c r="H160" i="3"/>
  <c r="H133" i="3"/>
  <c r="E829" i="3"/>
  <c r="B873" i="3"/>
  <c r="C873" i="3"/>
  <c r="H873" i="3"/>
  <c r="D873" i="3"/>
  <c r="B874" i="3"/>
  <c r="C874" i="3"/>
  <c r="H874" i="3"/>
  <c r="D874" i="3"/>
  <c r="B875" i="3"/>
  <c r="C875" i="3"/>
  <c r="H875" i="3"/>
  <c r="D875" i="3"/>
  <c r="B876" i="3"/>
  <c r="C876" i="3"/>
  <c r="H876" i="3"/>
  <c r="D876" i="3"/>
  <c r="B877" i="3"/>
  <c r="C877" i="3"/>
  <c r="H877" i="3"/>
  <c r="D877" i="3"/>
  <c r="B878" i="3"/>
  <c r="C878" i="3"/>
  <c r="H878" i="3"/>
  <c r="D878" i="3"/>
  <c r="B879" i="3"/>
  <c r="C879" i="3"/>
  <c r="H879" i="3"/>
  <c r="D879" i="3"/>
  <c r="B880" i="3"/>
  <c r="C880" i="3"/>
  <c r="H880" i="3"/>
  <c r="D880" i="3"/>
  <c r="B881" i="3"/>
  <c r="C881" i="3"/>
  <c r="H881" i="3"/>
  <c r="D881" i="3"/>
  <c r="D872" i="3"/>
  <c r="B872" i="3"/>
  <c r="C872" i="3"/>
  <c r="H872" i="3"/>
  <c r="C895" i="3"/>
  <c r="G895" i="3"/>
  <c r="K895" i="3"/>
  <c r="K896" i="3"/>
  <c r="K897" i="3"/>
  <c r="K898" i="3"/>
  <c r="K899" i="3"/>
  <c r="K900" i="3"/>
  <c r="K901" i="3"/>
  <c r="K902" i="3"/>
  <c r="K903" i="3"/>
  <c r="K904" i="3"/>
  <c r="K905" i="3"/>
  <c r="G896" i="3"/>
  <c r="G897" i="3"/>
  <c r="G898" i="3"/>
  <c r="G899" i="3"/>
  <c r="G900" i="3"/>
  <c r="G901" i="3"/>
  <c r="G902" i="3"/>
  <c r="G903" i="3"/>
  <c r="G904" i="3"/>
  <c r="G905" i="3"/>
  <c r="C896" i="3"/>
  <c r="C897" i="3"/>
  <c r="C898" i="3"/>
  <c r="C899" i="3"/>
  <c r="C900" i="3"/>
  <c r="C901" i="3"/>
  <c r="C902" i="3"/>
  <c r="C903" i="3"/>
  <c r="C904" i="3"/>
  <c r="C905" i="3"/>
  <c r="C887" i="3"/>
  <c r="C888" i="3"/>
  <c r="C889" i="3"/>
  <c r="C890" i="3"/>
  <c r="C891" i="3"/>
  <c r="C892" i="3"/>
  <c r="C893" i="3"/>
  <c r="C894" i="3"/>
  <c r="C886" i="3"/>
  <c r="G884" i="3"/>
  <c r="E871" i="3"/>
  <c r="D885" i="3"/>
  <c r="E870" i="3"/>
  <c r="D884" i="3"/>
  <c r="E873" i="3"/>
  <c r="D887" i="3"/>
  <c r="E874" i="3"/>
  <c r="D888" i="3"/>
  <c r="E875" i="3"/>
  <c r="D889" i="3"/>
  <c r="E876" i="3"/>
  <c r="D890" i="3"/>
  <c r="E877" i="3"/>
  <c r="D891" i="3"/>
  <c r="E878" i="3"/>
  <c r="D892" i="3"/>
  <c r="E879" i="3"/>
  <c r="D893" i="3"/>
  <c r="E880" i="3"/>
  <c r="D894" i="3"/>
  <c r="E881" i="3"/>
  <c r="D895" i="3"/>
  <c r="E872" i="3"/>
  <c r="D886" i="3"/>
  <c r="D896" i="3"/>
  <c r="H895" i="3"/>
  <c r="H896" i="3"/>
  <c r="L895" i="3"/>
  <c r="L896" i="3"/>
  <c r="D897" i="3"/>
  <c r="H897" i="3"/>
  <c r="L897" i="3"/>
  <c r="D898" i="3"/>
  <c r="H898" i="3"/>
  <c r="L898" i="3"/>
  <c r="D899" i="3"/>
  <c r="H899" i="3"/>
  <c r="L899" i="3"/>
  <c r="D900" i="3"/>
  <c r="H900" i="3"/>
  <c r="L900" i="3"/>
  <c r="D901" i="3"/>
  <c r="H901" i="3"/>
  <c r="L901" i="3"/>
  <c r="D902" i="3"/>
  <c r="H902" i="3"/>
  <c r="L902" i="3"/>
  <c r="D903" i="3"/>
  <c r="H903" i="3"/>
  <c r="L903" i="3"/>
  <c r="D904" i="3"/>
  <c r="H904" i="3"/>
  <c r="L904" i="3"/>
  <c r="D905" i="3"/>
  <c r="H905" i="3"/>
  <c r="L905" i="3"/>
  <c r="F864" i="3"/>
  <c r="C870" i="3"/>
  <c r="D870" i="3"/>
  <c r="B870" i="3"/>
  <c r="A895" i="3"/>
  <c r="H894" i="3"/>
  <c r="L894" i="3"/>
  <c r="G894" i="3"/>
  <c r="K894" i="3"/>
  <c r="A894" i="3"/>
  <c r="H893" i="3"/>
  <c r="L893" i="3"/>
  <c r="G893" i="3"/>
  <c r="K893" i="3"/>
  <c r="A893" i="3"/>
  <c r="H892" i="3"/>
  <c r="L892" i="3"/>
  <c r="G892" i="3"/>
  <c r="K892" i="3"/>
  <c r="A892" i="3"/>
  <c r="H891" i="3"/>
  <c r="L891" i="3"/>
  <c r="G891" i="3"/>
  <c r="K891" i="3"/>
  <c r="A891" i="3"/>
  <c r="H890" i="3"/>
  <c r="L890" i="3"/>
  <c r="G890" i="3"/>
  <c r="K890" i="3"/>
  <c r="A890" i="3"/>
  <c r="H889" i="3"/>
  <c r="L889" i="3"/>
  <c r="G889" i="3"/>
  <c r="K889" i="3"/>
  <c r="A889" i="3"/>
  <c r="H888" i="3"/>
  <c r="L888" i="3"/>
  <c r="G888" i="3"/>
  <c r="K888" i="3"/>
  <c r="A888" i="3"/>
  <c r="H887" i="3"/>
  <c r="L887" i="3"/>
  <c r="G887" i="3"/>
  <c r="K887" i="3"/>
  <c r="A887" i="3"/>
  <c r="H886" i="3"/>
  <c r="L886" i="3"/>
  <c r="G886" i="3"/>
  <c r="K886" i="3"/>
  <c r="A886" i="3"/>
  <c r="D833" i="3"/>
  <c r="D834" i="3"/>
  <c r="D835" i="3"/>
  <c r="D836" i="3"/>
  <c r="D837" i="3"/>
  <c r="D838" i="3"/>
  <c r="D839" i="3"/>
  <c r="D840" i="3"/>
  <c r="D841" i="3"/>
  <c r="D842" i="3"/>
  <c r="D843" i="3"/>
  <c r="A834" i="3"/>
  <c r="A835" i="3"/>
  <c r="A836" i="3"/>
  <c r="A837" i="3"/>
  <c r="A838" i="3"/>
  <c r="A839" i="3"/>
  <c r="A840" i="3"/>
  <c r="A841" i="3"/>
  <c r="A842" i="3"/>
  <c r="A843" i="3"/>
  <c r="A833" i="3"/>
  <c r="C853" i="3" a="1"/>
  <c r="C853" i="3"/>
  <c r="D853" i="3"/>
  <c r="C854" i="3"/>
  <c r="D854" i="3"/>
  <c r="A853" i="3" a="1"/>
  <c r="A853" i="3"/>
  <c r="A854" i="3"/>
  <c r="E626" i="3"/>
  <c r="B640" i="3"/>
  <c r="E627" i="3"/>
  <c r="B641" i="3"/>
  <c r="E628" i="3"/>
  <c r="B642" i="3"/>
  <c r="E629" i="3"/>
  <c r="B643" i="3"/>
  <c r="E630" i="3"/>
  <c r="B644" i="3"/>
  <c r="E631" i="3"/>
  <c r="B645" i="3"/>
  <c r="E632" i="3"/>
  <c r="B646" i="3"/>
  <c r="E633" i="3"/>
  <c r="B647" i="3"/>
  <c r="E634" i="3"/>
  <c r="B648" i="3"/>
  <c r="E635" i="3"/>
  <c r="B649" i="3"/>
  <c r="E636" i="3"/>
  <c r="B650" i="3"/>
  <c r="E613" i="3"/>
  <c r="C641" i="3"/>
  <c r="E599" i="3"/>
  <c r="D641" i="3"/>
  <c r="E585" i="3"/>
  <c r="E641" i="3"/>
  <c r="E571" i="3"/>
  <c r="F641" i="3"/>
  <c r="E614" i="3"/>
  <c r="C642" i="3"/>
  <c r="E600" i="3"/>
  <c r="D642" i="3"/>
  <c r="E586" i="3"/>
  <c r="E642" i="3"/>
  <c r="E572" i="3"/>
  <c r="F642" i="3"/>
  <c r="E615" i="3"/>
  <c r="C643" i="3"/>
  <c r="E601" i="3"/>
  <c r="D643" i="3"/>
  <c r="E587" i="3"/>
  <c r="E643" i="3"/>
  <c r="E573" i="3"/>
  <c r="F643" i="3"/>
  <c r="E616" i="3"/>
  <c r="C644" i="3"/>
  <c r="E602" i="3"/>
  <c r="D644" i="3"/>
  <c r="E588" i="3"/>
  <c r="E644" i="3"/>
  <c r="E574" i="3"/>
  <c r="F644" i="3"/>
  <c r="E617" i="3"/>
  <c r="C645" i="3"/>
  <c r="E603" i="3"/>
  <c r="D645" i="3"/>
  <c r="E589" i="3"/>
  <c r="E645" i="3"/>
  <c r="E575" i="3"/>
  <c r="F645" i="3"/>
  <c r="E618" i="3"/>
  <c r="C646" i="3"/>
  <c r="E604" i="3"/>
  <c r="D646" i="3"/>
  <c r="E590" i="3"/>
  <c r="E646" i="3"/>
  <c r="E576" i="3"/>
  <c r="F646" i="3"/>
  <c r="E619" i="3"/>
  <c r="C647" i="3"/>
  <c r="E605" i="3"/>
  <c r="D647" i="3"/>
  <c r="E591" i="3"/>
  <c r="E647" i="3"/>
  <c r="E577" i="3"/>
  <c r="F647" i="3"/>
  <c r="E620" i="3"/>
  <c r="C648" i="3"/>
  <c r="E606" i="3"/>
  <c r="D648" i="3"/>
  <c r="E592" i="3"/>
  <c r="E648" i="3"/>
  <c r="E578" i="3"/>
  <c r="F648" i="3"/>
  <c r="E621" i="3"/>
  <c r="C649" i="3"/>
  <c r="E607" i="3"/>
  <c r="D649" i="3"/>
  <c r="E593" i="3"/>
  <c r="E649" i="3"/>
  <c r="E579" i="3"/>
  <c r="F649" i="3"/>
  <c r="E622" i="3"/>
  <c r="C650" i="3"/>
  <c r="E608" i="3"/>
  <c r="D650" i="3"/>
  <c r="E594" i="3"/>
  <c r="E650" i="3"/>
  <c r="E580" i="3"/>
  <c r="F650" i="3"/>
  <c r="E570" i="3"/>
  <c r="F640" i="3"/>
  <c r="E584" i="3"/>
  <c r="E640" i="3"/>
  <c r="E598" i="3"/>
  <c r="D640" i="3"/>
  <c r="E612" i="3"/>
  <c r="C640" i="3"/>
  <c r="F639" i="3"/>
  <c r="A582" i="3"/>
  <c r="E639" i="3"/>
  <c r="A596" i="3"/>
  <c r="D639" i="3"/>
  <c r="A610" i="3"/>
  <c r="C639" i="3"/>
  <c r="A624" i="3"/>
  <c r="B639" i="3"/>
  <c r="D636" i="3"/>
  <c r="F636" i="3"/>
  <c r="D635" i="3"/>
  <c r="F635" i="3"/>
  <c r="I636" i="3"/>
  <c r="G636" i="3"/>
  <c r="H636" i="3"/>
  <c r="L636" i="3"/>
  <c r="K636" i="3"/>
  <c r="J636" i="3"/>
  <c r="D634" i="3"/>
  <c r="F634" i="3"/>
  <c r="I635" i="3"/>
  <c r="G635" i="3"/>
  <c r="H635" i="3"/>
  <c r="L635" i="3"/>
  <c r="K635" i="3"/>
  <c r="J635" i="3"/>
  <c r="D633" i="3"/>
  <c r="F633" i="3"/>
  <c r="I634" i="3"/>
  <c r="G634" i="3"/>
  <c r="H634" i="3"/>
  <c r="L634" i="3"/>
  <c r="K634" i="3"/>
  <c r="J634" i="3"/>
  <c r="D632" i="3"/>
  <c r="F632" i="3"/>
  <c r="I633" i="3"/>
  <c r="G633" i="3"/>
  <c r="H633" i="3"/>
  <c r="L633" i="3"/>
  <c r="K633" i="3"/>
  <c r="J633" i="3"/>
  <c r="D631" i="3"/>
  <c r="F631" i="3"/>
  <c r="I632" i="3"/>
  <c r="G632" i="3"/>
  <c r="H632" i="3"/>
  <c r="L632" i="3"/>
  <c r="K632" i="3"/>
  <c r="J632" i="3"/>
  <c r="D630" i="3"/>
  <c r="F630" i="3"/>
  <c r="I631" i="3"/>
  <c r="G631" i="3"/>
  <c r="H631" i="3"/>
  <c r="L631" i="3"/>
  <c r="K631" i="3"/>
  <c r="J631" i="3"/>
  <c r="D629" i="3"/>
  <c r="F629" i="3"/>
  <c r="I630" i="3"/>
  <c r="G630" i="3"/>
  <c r="H630" i="3"/>
  <c r="L630" i="3"/>
  <c r="K630" i="3"/>
  <c r="J630" i="3"/>
  <c r="D628" i="3"/>
  <c r="F628" i="3"/>
  <c r="I629" i="3"/>
  <c r="G629" i="3"/>
  <c r="H629" i="3"/>
  <c r="L629" i="3"/>
  <c r="K629" i="3"/>
  <c r="J629" i="3"/>
  <c r="D627" i="3"/>
  <c r="F627" i="3"/>
  <c r="I628" i="3"/>
  <c r="G628" i="3"/>
  <c r="H628" i="3"/>
  <c r="L628" i="3"/>
  <c r="K628" i="3"/>
  <c r="J628" i="3"/>
  <c r="D626" i="3"/>
  <c r="F626" i="3"/>
  <c r="I627" i="3"/>
  <c r="G627" i="3"/>
  <c r="H627" i="3"/>
  <c r="L627" i="3"/>
  <c r="K627" i="3"/>
  <c r="J627" i="3"/>
  <c r="D622" i="3"/>
  <c r="D621" i="3"/>
  <c r="D620" i="3"/>
  <c r="D619" i="3"/>
  <c r="D618" i="3"/>
  <c r="D617" i="3"/>
  <c r="D616" i="3"/>
  <c r="D615" i="3"/>
  <c r="D614" i="3"/>
  <c r="D613" i="3"/>
  <c r="D612" i="3"/>
  <c r="D608" i="3"/>
  <c r="D607" i="3"/>
  <c r="D606" i="3"/>
  <c r="D605" i="3"/>
  <c r="D604" i="3"/>
  <c r="D603" i="3"/>
  <c r="D602" i="3"/>
  <c r="D601" i="3"/>
  <c r="D600" i="3"/>
  <c r="D599" i="3"/>
  <c r="D598" i="3"/>
  <c r="D594" i="3"/>
  <c r="D593" i="3"/>
  <c r="D592" i="3"/>
  <c r="D591" i="3"/>
  <c r="D590" i="3"/>
  <c r="D589" i="3"/>
  <c r="D588" i="3"/>
  <c r="D587" i="3"/>
  <c r="D586" i="3"/>
  <c r="D585" i="3"/>
  <c r="D584" i="3"/>
  <c r="D580" i="3"/>
  <c r="D579" i="3"/>
  <c r="D578" i="3"/>
  <c r="D577" i="3"/>
  <c r="D576" i="3"/>
  <c r="D575" i="3"/>
  <c r="D574" i="3"/>
  <c r="D573" i="3"/>
  <c r="D572" i="3"/>
  <c r="D571" i="3"/>
  <c r="D570" i="3"/>
  <c r="F622" i="3"/>
  <c r="F621" i="3"/>
  <c r="I622" i="3"/>
  <c r="G622" i="3"/>
  <c r="H622" i="3"/>
  <c r="L622" i="3"/>
  <c r="K622" i="3"/>
  <c r="J622" i="3"/>
  <c r="F620" i="3"/>
  <c r="I621" i="3"/>
  <c r="G621" i="3"/>
  <c r="H621" i="3"/>
  <c r="L621" i="3"/>
  <c r="K621" i="3"/>
  <c r="J621" i="3"/>
  <c r="F619" i="3"/>
  <c r="I620" i="3"/>
  <c r="G620" i="3"/>
  <c r="H620" i="3"/>
  <c r="L620" i="3"/>
  <c r="K620" i="3"/>
  <c r="J620" i="3"/>
  <c r="F618" i="3"/>
  <c r="I619" i="3"/>
  <c r="G619" i="3"/>
  <c r="H619" i="3"/>
  <c r="L619" i="3"/>
  <c r="K619" i="3"/>
  <c r="J619" i="3"/>
  <c r="F617" i="3"/>
  <c r="I618" i="3"/>
  <c r="G618" i="3"/>
  <c r="H618" i="3"/>
  <c r="L618" i="3"/>
  <c r="K618" i="3"/>
  <c r="J618" i="3"/>
  <c r="F616" i="3"/>
  <c r="I617" i="3"/>
  <c r="G617" i="3"/>
  <c r="H617" i="3"/>
  <c r="L617" i="3"/>
  <c r="K617" i="3"/>
  <c r="J617" i="3"/>
  <c r="F615" i="3"/>
  <c r="I616" i="3"/>
  <c r="G616" i="3"/>
  <c r="H616" i="3"/>
  <c r="L616" i="3"/>
  <c r="K616" i="3"/>
  <c r="J616" i="3"/>
  <c r="F614" i="3"/>
  <c r="I615" i="3"/>
  <c r="G615" i="3"/>
  <c r="H615" i="3"/>
  <c r="L615" i="3"/>
  <c r="K615" i="3"/>
  <c r="J615" i="3"/>
  <c r="F613" i="3"/>
  <c r="I614" i="3"/>
  <c r="G614" i="3"/>
  <c r="H614" i="3"/>
  <c r="L614" i="3"/>
  <c r="K614" i="3"/>
  <c r="J614" i="3"/>
  <c r="F612" i="3"/>
  <c r="I613" i="3"/>
  <c r="G613" i="3"/>
  <c r="H613" i="3"/>
  <c r="L613" i="3"/>
  <c r="K613" i="3"/>
  <c r="J613" i="3"/>
  <c r="F608" i="3"/>
  <c r="F607" i="3"/>
  <c r="I608" i="3"/>
  <c r="G608" i="3"/>
  <c r="H608" i="3"/>
  <c r="L608" i="3"/>
  <c r="K608" i="3"/>
  <c r="J608" i="3"/>
  <c r="F606" i="3"/>
  <c r="I607" i="3"/>
  <c r="G607" i="3"/>
  <c r="H607" i="3"/>
  <c r="L607" i="3"/>
  <c r="K607" i="3"/>
  <c r="J607" i="3"/>
  <c r="F605" i="3"/>
  <c r="I606" i="3"/>
  <c r="G606" i="3"/>
  <c r="H606" i="3"/>
  <c r="L606" i="3"/>
  <c r="K606" i="3"/>
  <c r="J606" i="3"/>
  <c r="F604" i="3"/>
  <c r="I605" i="3"/>
  <c r="G605" i="3"/>
  <c r="H605" i="3"/>
  <c r="L605" i="3"/>
  <c r="K605" i="3"/>
  <c r="J605" i="3"/>
  <c r="F603" i="3"/>
  <c r="I604" i="3"/>
  <c r="G604" i="3"/>
  <c r="H604" i="3"/>
  <c r="L604" i="3"/>
  <c r="K604" i="3"/>
  <c r="J604" i="3"/>
  <c r="F602" i="3"/>
  <c r="I603" i="3"/>
  <c r="G603" i="3"/>
  <c r="H603" i="3"/>
  <c r="L603" i="3"/>
  <c r="K603" i="3"/>
  <c r="J603" i="3"/>
  <c r="F601" i="3"/>
  <c r="I602" i="3"/>
  <c r="G602" i="3"/>
  <c r="H602" i="3"/>
  <c r="L602" i="3"/>
  <c r="K602" i="3"/>
  <c r="J602" i="3"/>
  <c r="F600" i="3"/>
  <c r="I601" i="3"/>
  <c r="G601" i="3"/>
  <c r="H601" i="3"/>
  <c r="L601" i="3"/>
  <c r="K601" i="3"/>
  <c r="J601" i="3"/>
  <c r="F599" i="3"/>
  <c r="I600" i="3"/>
  <c r="G600" i="3"/>
  <c r="H600" i="3"/>
  <c r="L600" i="3"/>
  <c r="K600" i="3"/>
  <c r="J600" i="3"/>
  <c r="F598" i="3"/>
  <c r="I599" i="3"/>
  <c r="G599" i="3"/>
  <c r="H599" i="3"/>
  <c r="L599" i="3"/>
  <c r="K599" i="3"/>
  <c r="J599" i="3"/>
  <c r="F594" i="3"/>
  <c r="F593" i="3"/>
  <c r="I594" i="3"/>
  <c r="G594" i="3"/>
  <c r="H594" i="3"/>
  <c r="L594" i="3"/>
  <c r="K594" i="3"/>
  <c r="J594" i="3"/>
  <c r="F592" i="3"/>
  <c r="I593" i="3"/>
  <c r="G593" i="3"/>
  <c r="H593" i="3"/>
  <c r="L593" i="3"/>
  <c r="K593" i="3"/>
  <c r="J593" i="3"/>
  <c r="F591" i="3"/>
  <c r="I592" i="3"/>
  <c r="G592" i="3"/>
  <c r="H592" i="3"/>
  <c r="L592" i="3"/>
  <c r="K592" i="3"/>
  <c r="J592" i="3"/>
  <c r="F590" i="3"/>
  <c r="I591" i="3"/>
  <c r="G591" i="3"/>
  <c r="H591" i="3"/>
  <c r="L591" i="3"/>
  <c r="K591" i="3"/>
  <c r="J591" i="3"/>
  <c r="F589" i="3"/>
  <c r="I590" i="3"/>
  <c r="G590" i="3"/>
  <c r="H590" i="3"/>
  <c r="L590" i="3"/>
  <c r="K590" i="3"/>
  <c r="J590" i="3"/>
  <c r="F588" i="3"/>
  <c r="I589" i="3"/>
  <c r="G589" i="3"/>
  <c r="H589" i="3"/>
  <c r="L589" i="3"/>
  <c r="K589" i="3"/>
  <c r="J589" i="3"/>
  <c r="F587" i="3"/>
  <c r="I588" i="3"/>
  <c r="G588" i="3"/>
  <c r="H588" i="3"/>
  <c r="L588" i="3"/>
  <c r="K588" i="3"/>
  <c r="J588" i="3"/>
  <c r="F586" i="3"/>
  <c r="I587" i="3"/>
  <c r="G587" i="3"/>
  <c r="H587" i="3"/>
  <c r="L587" i="3"/>
  <c r="K587" i="3"/>
  <c r="J587" i="3"/>
  <c r="F585" i="3"/>
  <c r="I586" i="3"/>
  <c r="G586" i="3"/>
  <c r="H586" i="3"/>
  <c r="L586" i="3"/>
  <c r="K586" i="3"/>
  <c r="J586" i="3"/>
  <c r="F584" i="3"/>
  <c r="I585" i="3"/>
  <c r="G585" i="3"/>
  <c r="H585" i="3"/>
  <c r="L585" i="3"/>
  <c r="K585" i="3"/>
  <c r="J585" i="3"/>
  <c r="F571" i="3"/>
  <c r="F572" i="3"/>
  <c r="I572" i="3"/>
  <c r="G572" i="3"/>
  <c r="H572" i="3"/>
  <c r="L572" i="3"/>
  <c r="F573" i="3"/>
  <c r="I573" i="3"/>
  <c r="G573" i="3"/>
  <c r="H573" i="3"/>
  <c r="L573" i="3"/>
  <c r="F574" i="3"/>
  <c r="I574" i="3"/>
  <c r="G574" i="3"/>
  <c r="H574" i="3"/>
  <c r="L574" i="3"/>
  <c r="F575" i="3"/>
  <c r="I575" i="3"/>
  <c r="G575" i="3"/>
  <c r="H575" i="3"/>
  <c r="L575" i="3"/>
  <c r="F576" i="3"/>
  <c r="I576" i="3"/>
  <c r="G576" i="3"/>
  <c r="H576" i="3"/>
  <c r="L576" i="3"/>
  <c r="F577" i="3"/>
  <c r="I577" i="3"/>
  <c r="G577" i="3"/>
  <c r="H577" i="3"/>
  <c r="L577" i="3"/>
  <c r="F578" i="3"/>
  <c r="I578" i="3"/>
  <c r="G578" i="3"/>
  <c r="H578" i="3"/>
  <c r="L578" i="3"/>
  <c r="F579" i="3"/>
  <c r="I579" i="3"/>
  <c r="G579" i="3"/>
  <c r="H579" i="3"/>
  <c r="L579" i="3"/>
  <c r="F580" i="3"/>
  <c r="I580" i="3"/>
  <c r="G580" i="3"/>
  <c r="H580" i="3"/>
  <c r="L580" i="3"/>
  <c r="F570" i="3"/>
  <c r="I571" i="3"/>
  <c r="G571" i="3"/>
  <c r="H571" i="3"/>
  <c r="L571" i="3"/>
  <c r="J572" i="3"/>
  <c r="J573" i="3"/>
  <c r="J574" i="3"/>
  <c r="J575" i="3"/>
  <c r="J576" i="3"/>
  <c r="J577" i="3"/>
  <c r="J578" i="3"/>
  <c r="J579" i="3"/>
  <c r="J580" i="3"/>
  <c r="J571" i="3"/>
  <c r="K571" i="3"/>
  <c r="K572" i="3"/>
  <c r="K573" i="3"/>
  <c r="K574" i="3"/>
  <c r="K575" i="3"/>
  <c r="K576" i="3"/>
  <c r="K577" i="3"/>
  <c r="K578" i="3"/>
  <c r="K579" i="3"/>
  <c r="K580" i="3"/>
  <c r="B744" i="3"/>
  <c r="B745" i="3"/>
  <c r="B746" i="3"/>
  <c r="B747" i="3"/>
  <c r="B748" i="3"/>
  <c r="B749" i="3"/>
  <c r="B750" i="3"/>
  <c r="B751" i="3"/>
  <c r="B752" i="3"/>
  <c r="B743" i="3"/>
  <c r="C766" i="3"/>
  <c r="G766" i="3"/>
  <c r="K766" i="3"/>
  <c r="K767" i="3"/>
  <c r="K768" i="3"/>
  <c r="D766" i="3"/>
  <c r="H766" i="3"/>
  <c r="L766" i="3"/>
  <c r="L767" i="3"/>
  <c r="L768" i="3"/>
  <c r="K769" i="3"/>
  <c r="L769" i="3"/>
  <c r="K770" i="3"/>
  <c r="L770" i="3"/>
  <c r="K771" i="3"/>
  <c r="L771" i="3"/>
  <c r="K772" i="3"/>
  <c r="L772" i="3"/>
  <c r="K773" i="3"/>
  <c r="L773" i="3"/>
  <c r="K774" i="3"/>
  <c r="L774" i="3"/>
  <c r="K775" i="3"/>
  <c r="L775" i="3"/>
  <c r="K776" i="3"/>
  <c r="L776" i="3"/>
  <c r="G767" i="3"/>
  <c r="G768" i="3"/>
  <c r="E766" i="3"/>
  <c r="I766" i="3"/>
  <c r="I767" i="3"/>
  <c r="I768" i="3"/>
  <c r="G769" i="3"/>
  <c r="I769" i="3"/>
  <c r="G770" i="3"/>
  <c r="I770" i="3"/>
  <c r="G771" i="3"/>
  <c r="I771" i="3"/>
  <c r="G772" i="3"/>
  <c r="I772" i="3"/>
  <c r="G773" i="3"/>
  <c r="I773" i="3"/>
  <c r="G774" i="3"/>
  <c r="I774" i="3"/>
  <c r="G775" i="3"/>
  <c r="I775" i="3"/>
  <c r="G776" i="3"/>
  <c r="I776" i="3"/>
  <c r="H767" i="3"/>
  <c r="H768" i="3"/>
  <c r="M766" i="3"/>
  <c r="M767" i="3"/>
  <c r="M768" i="3"/>
  <c r="H769" i="3"/>
  <c r="M769" i="3"/>
  <c r="H770" i="3"/>
  <c r="M770" i="3"/>
  <c r="H771" i="3"/>
  <c r="M771" i="3"/>
  <c r="H772" i="3"/>
  <c r="M772" i="3"/>
  <c r="H773" i="3"/>
  <c r="M773" i="3"/>
  <c r="H774" i="3"/>
  <c r="M774" i="3"/>
  <c r="H775" i="3"/>
  <c r="M775" i="3"/>
  <c r="H776" i="3"/>
  <c r="M776" i="3"/>
  <c r="C758" i="3"/>
  <c r="G758" i="3"/>
  <c r="D758" i="3"/>
  <c r="H758" i="3"/>
  <c r="E758" i="3"/>
  <c r="I758" i="3"/>
  <c r="K758" i="3"/>
  <c r="L758" i="3"/>
  <c r="M758" i="3"/>
  <c r="C759" i="3"/>
  <c r="G759" i="3"/>
  <c r="D759" i="3"/>
  <c r="H759" i="3"/>
  <c r="E759" i="3"/>
  <c r="I759" i="3"/>
  <c r="K759" i="3"/>
  <c r="L759" i="3"/>
  <c r="M759" i="3"/>
  <c r="C760" i="3"/>
  <c r="G760" i="3"/>
  <c r="D760" i="3"/>
  <c r="H760" i="3"/>
  <c r="E760" i="3"/>
  <c r="I760" i="3"/>
  <c r="K760" i="3"/>
  <c r="L760" i="3"/>
  <c r="M760" i="3"/>
  <c r="C761" i="3"/>
  <c r="G761" i="3"/>
  <c r="D761" i="3"/>
  <c r="H761" i="3"/>
  <c r="E761" i="3"/>
  <c r="I761" i="3"/>
  <c r="K761" i="3"/>
  <c r="L761" i="3"/>
  <c r="M761" i="3"/>
  <c r="C762" i="3"/>
  <c r="G762" i="3"/>
  <c r="D762" i="3"/>
  <c r="H762" i="3"/>
  <c r="E762" i="3"/>
  <c r="I762" i="3"/>
  <c r="K762" i="3"/>
  <c r="L762" i="3"/>
  <c r="M762" i="3"/>
  <c r="C763" i="3"/>
  <c r="G763" i="3"/>
  <c r="D763" i="3"/>
  <c r="H763" i="3"/>
  <c r="E763" i="3"/>
  <c r="I763" i="3"/>
  <c r="K763" i="3"/>
  <c r="L763" i="3"/>
  <c r="M763" i="3"/>
  <c r="C764" i="3"/>
  <c r="G764" i="3"/>
  <c r="D764" i="3"/>
  <c r="H764" i="3"/>
  <c r="E764" i="3"/>
  <c r="I764" i="3"/>
  <c r="K764" i="3"/>
  <c r="L764" i="3"/>
  <c r="M764" i="3"/>
  <c r="C765" i="3"/>
  <c r="G765" i="3"/>
  <c r="D765" i="3"/>
  <c r="H765" i="3"/>
  <c r="E765" i="3"/>
  <c r="I765" i="3"/>
  <c r="K765" i="3"/>
  <c r="L765" i="3"/>
  <c r="M765" i="3"/>
  <c r="C757" i="3"/>
  <c r="G757" i="3"/>
  <c r="D757" i="3"/>
  <c r="H757" i="3"/>
  <c r="E757" i="3"/>
  <c r="I757" i="3"/>
  <c r="K757" i="3"/>
  <c r="L757" i="3"/>
  <c r="M757" i="3"/>
  <c r="D767" i="3"/>
  <c r="D768" i="3"/>
  <c r="E767" i="3"/>
  <c r="E768" i="3"/>
  <c r="D769" i="3"/>
  <c r="E769" i="3"/>
  <c r="D770" i="3"/>
  <c r="E770" i="3"/>
  <c r="D771" i="3"/>
  <c r="E771" i="3"/>
  <c r="D772" i="3"/>
  <c r="E772" i="3"/>
  <c r="D773" i="3"/>
  <c r="E773" i="3"/>
  <c r="D774" i="3"/>
  <c r="E774" i="3"/>
  <c r="D775" i="3"/>
  <c r="E775" i="3"/>
  <c r="D776" i="3"/>
  <c r="E776" i="3"/>
  <c r="C767" i="3"/>
  <c r="C768" i="3"/>
  <c r="C769" i="3"/>
  <c r="C770" i="3"/>
  <c r="C771" i="3"/>
  <c r="C772" i="3"/>
  <c r="C773" i="3"/>
  <c r="C774" i="3"/>
  <c r="C775" i="3"/>
  <c r="C776" i="3"/>
  <c r="A766" i="3"/>
  <c r="A758" i="3"/>
  <c r="A759" i="3"/>
  <c r="A760" i="3"/>
  <c r="A761" i="3"/>
  <c r="A762" i="3"/>
  <c r="A763" i="3"/>
  <c r="A764" i="3"/>
  <c r="A765" i="3"/>
  <c r="A757" i="3"/>
  <c r="A712" i="3" a="1"/>
  <c r="A712" i="3"/>
  <c r="A713" i="3"/>
  <c r="A714" i="3"/>
  <c r="A715" i="3"/>
  <c r="C712" i="3" a="1"/>
  <c r="C712" i="3"/>
  <c r="D712" i="3"/>
  <c r="E712" i="3"/>
  <c r="F712" i="3"/>
  <c r="C713" i="3"/>
  <c r="D713" i="3"/>
  <c r="E713" i="3"/>
  <c r="F713" i="3"/>
  <c r="C714" i="3"/>
  <c r="D714" i="3"/>
  <c r="E714" i="3"/>
  <c r="F714" i="3"/>
  <c r="C715" i="3"/>
  <c r="D715" i="3"/>
  <c r="E715" i="3"/>
  <c r="F715" i="3"/>
  <c r="I501" i="3"/>
  <c r="I502" i="3"/>
  <c r="I503" i="3"/>
  <c r="I504" i="3"/>
  <c r="I505" i="3"/>
  <c r="I506" i="3"/>
  <c r="I507" i="3"/>
  <c r="I500" i="3"/>
  <c r="B523" i="3"/>
  <c r="D523" i="3"/>
  <c r="F523" i="3"/>
  <c r="H523" i="3"/>
  <c r="J523" i="3"/>
  <c r="L523" i="3"/>
  <c r="B475" i="3"/>
  <c r="D475" i="3"/>
  <c r="F475" i="3"/>
  <c r="H475" i="3"/>
  <c r="J475" i="3"/>
  <c r="L475" i="3"/>
  <c r="D535" i="3"/>
  <c r="D490" i="3"/>
  <c r="C490" i="3"/>
  <c r="H501" i="3"/>
  <c r="E523" i="3"/>
  <c r="C523" i="3"/>
  <c r="D512" i="3"/>
  <c r="G523" i="3"/>
  <c r="I523" i="3"/>
  <c r="K523" i="3"/>
  <c r="M523" i="3"/>
  <c r="C475" i="3"/>
  <c r="E475" i="3"/>
  <c r="G475" i="3"/>
  <c r="I475" i="3"/>
  <c r="K475" i="3"/>
  <c r="M475" i="3"/>
  <c r="E535" i="3"/>
  <c r="B524" i="3"/>
  <c r="D524" i="3"/>
  <c r="F524" i="3"/>
  <c r="H524" i="3"/>
  <c r="J524" i="3"/>
  <c r="L524" i="3"/>
  <c r="B476" i="3"/>
  <c r="D476" i="3"/>
  <c r="F476" i="3"/>
  <c r="H476" i="3"/>
  <c r="J476" i="3"/>
  <c r="L476" i="3"/>
  <c r="D536" i="3"/>
  <c r="D491" i="3"/>
  <c r="C491" i="3"/>
  <c r="H502" i="3"/>
  <c r="E524" i="3"/>
  <c r="C524" i="3"/>
  <c r="D513" i="3"/>
  <c r="G524" i="3"/>
  <c r="I524" i="3"/>
  <c r="K524" i="3"/>
  <c r="M524" i="3"/>
  <c r="C476" i="3"/>
  <c r="E476" i="3"/>
  <c r="G476" i="3"/>
  <c r="I476" i="3"/>
  <c r="K476" i="3"/>
  <c r="M476" i="3"/>
  <c r="E536" i="3"/>
  <c r="B525" i="3"/>
  <c r="D525" i="3"/>
  <c r="F525" i="3"/>
  <c r="H525" i="3"/>
  <c r="J525" i="3"/>
  <c r="L525" i="3"/>
  <c r="B477" i="3"/>
  <c r="D477" i="3"/>
  <c r="F477" i="3"/>
  <c r="H477" i="3"/>
  <c r="J477" i="3"/>
  <c r="L477" i="3"/>
  <c r="D537" i="3"/>
  <c r="D492" i="3"/>
  <c r="C492" i="3"/>
  <c r="H503" i="3"/>
  <c r="E525" i="3"/>
  <c r="C525" i="3"/>
  <c r="D514" i="3"/>
  <c r="G525" i="3"/>
  <c r="I525" i="3"/>
  <c r="K525" i="3"/>
  <c r="M525" i="3"/>
  <c r="C477" i="3"/>
  <c r="E477" i="3"/>
  <c r="G477" i="3"/>
  <c r="I477" i="3"/>
  <c r="K477" i="3"/>
  <c r="M477" i="3"/>
  <c r="E537" i="3"/>
  <c r="B526" i="3"/>
  <c r="D526" i="3"/>
  <c r="F526" i="3"/>
  <c r="H526" i="3"/>
  <c r="J526" i="3"/>
  <c r="L526" i="3"/>
  <c r="B478" i="3"/>
  <c r="D478" i="3"/>
  <c r="F478" i="3"/>
  <c r="H478" i="3"/>
  <c r="J478" i="3"/>
  <c r="L478" i="3"/>
  <c r="D538" i="3"/>
  <c r="D493" i="3"/>
  <c r="C493" i="3"/>
  <c r="H504" i="3"/>
  <c r="E526" i="3"/>
  <c r="C526" i="3"/>
  <c r="D515" i="3"/>
  <c r="G526" i="3"/>
  <c r="I526" i="3"/>
  <c r="K526" i="3"/>
  <c r="M526" i="3"/>
  <c r="C478" i="3"/>
  <c r="E478" i="3"/>
  <c r="G478" i="3"/>
  <c r="I478" i="3"/>
  <c r="K478" i="3"/>
  <c r="M478" i="3"/>
  <c r="E538" i="3"/>
  <c r="B527" i="3"/>
  <c r="D527" i="3"/>
  <c r="F527" i="3"/>
  <c r="H527" i="3"/>
  <c r="J527" i="3"/>
  <c r="L527" i="3"/>
  <c r="B479" i="3"/>
  <c r="D479" i="3"/>
  <c r="F479" i="3"/>
  <c r="H479" i="3"/>
  <c r="J479" i="3"/>
  <c r="L479" i="3"/>
  <c r="D539" i="3"/>
  <c r="D494" i="3"/>
  <c r="C494" i="3"/>
  <c r="H505" i="3"/>
  <c r="E527" i="3"/>
  <c r="C527" i="3"/>
  <c r="D516" i="3"/>
  <c r="G527" i="3"/>
  <c r="I527" i="3"/>
  <c r="K527" i="3"/>
  <c r="M527" i="3"/>
  <c r="C479" i="3"/>
  <c r="E479" i="3"/>
  <c r="G479" i="3"/>
  <c r="I479" i="3"/>
  <c r="K479" i="3"/>
  <c r="M479" i="3"/>
  <c r="E539" i="3"/>
  <c r="B528" i="3"/>
  <c r="D528" i="3"/>
  <c r="F528" i="3"/>
  <c r="H528" i="3"/>
  <c r="J528" i="3"/>
  <c r="L528" i="3"/>
  <c r="B480" i="3"/>
  <c r="D480" i="3"/>
  <c r="F480" i="3"/>
  <c r="H480" i="3"/>
  <c r="J480" i="3"/>
  <c r="L480" i="3"/>
  <c r="D540" i="3"/>
  <c r="D495" i="3"/>
  <c r="C495" i="3"/>
  <c r="H506" i="3"/>
  <c r="E528" i="3"/>
  <c r="C528" i="3"/>
  <c r="D517" i="3"/>
  <c r="G528" i="3"/>
  <c r="I528" i="3"/>
  <c r="K528" i="3"/>
  <c r="M528" i="3"/>
  <c r="C480" i="3"/>
  <c r="E480" i="3"/>
  <c r="G480" i="3"/>
  <c r="I480" i="3"/>
  <c r="K480" i="3"/>
  <c r="M480" i="3"/>
  <c r="E540" i="3"/>
  <c r="B529" i="3"/>
  <c r="D529" i="3"/>
  <c r="F529" i="3"/>
  <c r="H529" i="3"/>
  <c r="J529" i="3"/>
  <c r="L529" i="3"/>
  <c r="B481" i="3"/>
  <c r="D481" i="3"/>
  <c r="F481" i="3"/>
  <c r="H481" i="3"/>
  <c r="J481" i="3"/>
  <c r="L481" i="3"/>
  <c r="D541" i="3"/>
  <c r="D496" i="3"/>
  <c r="C496" i="3"/>
  <c r="H507" i="3"/>
  <c r="E529" i="3"/>
  <c r="C529" i="3"/>
  <c r="D518" i="3"/>
  <c r="G529" i="3"/>
  <c r="I529" i="3"/>
  <c r="K529" i="3"/>
  <c r="M529" i="3"/>
  <c r="C481" i="3"/>
  <c r="E481" i="3"/>
  <c r="G481" i="3"/>
  <c r="I481" i="3"/>
  <c r="K481" i="3"/>
  <c r="M481" i="3"/>
  <c r="E541" i="3"/>
  <c r="B522" i="3"/>
  <c r="D522" i="3"/>
  <c r="F522" i="3"/>
  <c r="H522" i="3"/>
  <c r="J522" i="3"/>
  <c r="L522" i="3"/>
  <c r="L530" i="3"/>
  <c r="B474" i="3"/>
  <c r="D474" i="3"/>
  <c r="F474" i="3"/>
  <c r="H474" i="3"/>
  <c r="J474" i="3"/>
  <c r="L474" i="3"/>
  <c r="L482" i="3"/>
  <c r="D542" i="3"/>
  <c r="D489" i="3"/>
  <c r="C489" i="3"/>
  <c r="H500" i="3"/>
  <c r="E522" i="3"/>
  <c r="C522" i="3"/>
  <c r="D511" i="3"/>
  <c r="G522" i="3"/>
  <c r="I522" i="3"/>
  <c r="K522" i="3"/>
  <c r="M522" i="3"/>
  <c r="M530" i="3"/>
  <c r="C474" i="3"/>
  <c r="E474" i="3"/>
  <c r="G474" i="3"/>
  <c r="I474" i="3"/>
  <c r="K474" i="3"/>
  <c r="M474" i="3"/>
  <c r="M482" i="3"/>
  <c r="E542" i="3"/>
  <c r="E534" i="3"/>
  <c r="D534" i="3"/>
  <c r="E530" i="3"/>
  <c r="C512" i="3"/>
  <c r="C513" i="3"/>
  <c r="C514" i="3"/>
  <c r="C515" i="3"/>
  <c r="C516" i="3"/>
  <c r="C517" i="3"/>
  <c r="C518" i="3"/>
  <c r="C511" i="3"/>
  <c r="B512" i="3"/>
  <c r="B490" i="3"/>
  <c r="E512" i="3"/>
  <c r="E490" i="3"/>
  <c r="F512" i="3"/>
  <c r="F490" i="3"/>
  <c r="B513" i="3"/>
  <c r="B491" i="3"/>
  <c r="E513" i="3"/>
  <c r="E491" i="3"/>
  <c r="F513" i="3"/>
  <c r="F491" i="3"/>
  <c r="B514" i="3"/>
  <c r="B492" i="3"/>
  <c r="E514" i="3"/>
  <c r="E492" i="3"/>
  <c r="F514" i="3"/>
  <c r="F492" i="3"/>
  <c r="B515" i="3"/>
  <c r="B493" i="3"/>
  <c r="E515" i="3"/>
  <c r="E493" i="3"/>
  <c r="F515" i="3"/>
  <c r="F493" i="3"/>
  <c r="B516" i="3"/>
  <c r="B494" i="3"/>
  <c r="E516" i="3"/>
  <c r="E494" i="3"/>
  <c r="F516" i="3"/>
  <c r="F494" i="3"/>
  <c r="B517" i="3"/>
  <c r="B495" i="3"/>
  <c r="E517" i="3"/>
  <c r="E495" i="3"/>
  <c r="F517" i="3"/>
  <c r="F495" i="3"/>
  <c r="B518" i="3"/>
  <c r="B496" i="3"/>
  <c r="E518" i="3"/>
  <c r="E496" i="3"/>
  <c r="F518" i="3"/>
  <c r="F496" i="3"/>
  <c r="E511" i="3"/>
  <c r="E489" i="3"/>
  <c r="F511" i="3"/>
  <c r="F489" i="3"/>
  <c r="B511" i="3"/>
  <c r="B489" i="3"/>
  <c r="B535" i="3"/>
  <c r="C535" i="3"/>
  <c r="B536" i="3"/>
  <c r="C536" i="3"/>
  <c r="B537" i="3"/>
  <c r="C537" i="3"/>
  <c r="B538" i="3"/>
  <c r="C538" i="3"/>
  <c r="B539" i="3"/>
  <c r="C539" i="3"/>
  <c r="B540" i="3"/>
  <c r="C540" i="3"/>
  <c r="B541" i="3"/>
  <c r="C541" i="3"/>
  <c r="B542" i="3"/>
  <c r="C542" i="3"/>
  <c r="C534" i="3"/>
  <c r="B534" i="3"/>
  <c r="C530" i="3"/>
  <c r="K530" i="3"/>
  <c r="J530" i="3"/>
  <c r="I530" i="3"/>
  <c r="H530" i="3"/>
  <c r="G530" i="3"/>
  <c r="F530" i="3"/>
  <c r="D530" i="3"/>
  <c r="B530" i="3"/>
  <c r="K482" i="3"/>
  <c r="I482" i="3"/>
  <c r="G482" i="3"/>
  <c r="E482" i="3"/>
  <c r="C482" i="3"/>
  <c r="I431" i="3"/>
  <c r="I432" i="3"/>
  <c r="I433" i="3"/>
  <c r="I434" i="3"/>
  <c r="I435" i="3"/>
  <c r="I436" i="3"/>
  <c r="I437" i="3"/>
  <c r="I438" i="3"/>
  <c r="I439" i="3"/>
  <c r="J482" i="3"/>
  <c r="H482" i="3"/>
  <c r="F482" i="3"/>
  <c r="D482" i="3"/>
  <c r="B482" i="3"/>
  <c r="L444" i="3"/>
  <c r="M444" i="3"/>
  <c r="L445" i="3"/>
  <c r="M445" i="3"/>
  <c r="L446" i="3"/>
  <c r="M446" i="3"/>
  <c r="L447" i="3"/>
  <c r="M447" i="3"/>
  <c r="L448" i="3"/>
  <c r="M448" i="3"/>
  <c r="L449" i="3"/>
  <c r="M449" i="3"/>
  <c r="L450" i="3"/>
  <c r="M450" i="3"/>
  <c r="L451" i="3"/>
  <c r="M451" i="3"/>
  <c r="L443" i="3"/>
  <c r="M443" i="3"/>
  <c r="C385" i="3"/>
  <c r="B393" i="3"/>
  <c r="C393" i="3"/>
  <c r="D393" i="3"/>
  <c r="E393" i="3"/>
  <c r="F393" i="3"/>
  <c r="G393" i="3"/>
  <c r="H393" i="3"/>
  <c r="L260" i="3"/>
  <c r="L272" i="3"/>
  <c r="E334" i="3"/>
  <c r="E335" i="3"/>
  <c r="E336" i="3"/>
  <c r="E337" i="3"/>
  <c r="E338" i="3"/>
  <c r="E339" i="3"/>
  <c r="E340" i="3"/>
  <c r="E341" i="3"/>
  <c r="E342" i="3"/>
  <c r="E343" i="3"/>
  <c r="E344" i="3"/>
  <c r="E345" i="3"/>
  <c r="E349" i="3"/>
  <c r="E262" i="3"/>
  <c r="E263" i="3"/>
  <c r="E264" i="3"/>
  <c r="E265" i="3"/>
  <c r="E266" i="3"/>
  <c r="E267" i="3"/>
  <c r="E268" i="3"/>
  <c r="E269" i="3"/>
  <c r="E270" i="3"/>
  <c r="E271" i="3"/>
  <c r="E272" i="3"/>
  <c r="E273" i="3"/>
  <c r="E348" i="3"/>
  <c r="E350" i="3"/>
  <c r="M272" i="3"/>
  <c r="F334" i="3"/>
  <c r="F335" i="3"/>
  <c r="F336" i="3"/>
  <c r="F337" i="3"/>
  <c r="F338" i="3"/>
  <c r="F339" i="3"/>
  <c r="F340" i="3"/>
  <c r="F341" i="3"/>
  <c r="F342" i="3"/>
  <c r="F343" i="3"/>
  <c r="F344" i="3"/>
  <c r="F345" i="3"/>
  <c r="F349" i="3"/>
  <c r="F262" i="3"/>
  <c r="F263" i="3"/>
  <c r="F264" i="3"/>
  <c r="F265" i="3"/>
  <c r="F266" i="3"/>
  <c r="F267" i="3"/>
  <c r="F268" i="3"/>
  <c r="F269" i="3"/>
  <c r="F270" i="3"/>
  <c r="F271" i="3"/>
  <c r="F272" i="3"/>
  <c r="F273" i="3"/>
  <c r="F348" i="3"/>
  <c r="F350" i="3"/>
  <c r="N272" i="3"/>
  <c r="G334" i="3"/>
  <c r="G335" i="3"/>
  <c r="G336" i="3"/>
  <c r="G337" i="3"/>
  <c r="G338" i="3"/>
  <c r="G339" i="3"/>
  <c r="G340" i="3"/>
  <c r="G341" i="3"/>
  <c r="G342" i="3"/>
  <c r="G343" i="3"/>
  <c r="G344" i="3"/>
  <c r="G345" i="3"/>
  <c r="G349" i="3"/>
  <c r="G262" i="3"/>
  <c r="G263" i="3"/>
  <c r="G264" i="3"/>
  <c r="G265" i="3"/>
  <c r="G266" i="3"/>
  <c r="G267" i="3"/>
  <c r="G268" i="3"/>
  <c r="G269" i="3"/>
  <c r="G270" i="3"/>
  <c r="G271" i="3"/>
  <c r="G272" i="3"/>
  <c r="G273" i="3"/>
  <c r="G348" i="3"/>
  <c r="G350" i="3"/>
  <c r="K272" i="3"/>
  <c r="D334" i="3"/>
  <c r="D335" i="3"/>
  <c r="D336" i="3"/>
  <c r="D337" i="3"/>
  <c r="D338" i="3"/>
  <c r="D339" i="3"/>
  <c r="D340" i="3"/>
  <c r="D341" i="3"/>
  <c r="D342" i="3"/>
  <c r="D343" i="3"/>
  <c r="D344" i="3"/>
  <c r="D345" i="3"/>
  <c r="H345" i="3"/>
  <c r="H349" i="3"/>
  <c r="D262" i="3"/>
  <c r="D263" i="3"/>
  <c r="D264" i="3"/>
  <c r="D265" i="3"/>
  <c r="D266" i="3"/>
  <c r="D267" i="3"/>
  <c r="D268" i="3"/>
  <c r="D269" i="3"/>
  <c r="D270" i="3"/>
  <c r="D271" i="3"/>
  <c r="D272" i="3"/>
  <c r="D273" i="3"/>
  <c r="H273" i="3"/>
  <c r="H348" i="3"/>
  <c r="H350" i="3"/>
  <c r="D349" i="3"/>
  <c r="D348" i="3"/>
  <c r="D350" i="3"/>
  <c r="E347" i="3"/>
  <c r="F347" i="3"/>
  <c r="G347" i="3"/>
  <c r="H347" i="3"/>
  <c r="D347" i="3"/>
  <c r="H344" i="3"/>
  <c r="H343" i="3"/>
  <c r="H342" i="3"/>
  <c r="H341" i="3"/>
  <c r="H340" i="3"/>
  <c r="H339" i="3"/>
  <c r="H338" i="3"/>
  <c r="H337" i="3"/>
  <c r="H336" i="3"/>
  <c r="H335" i="3"/>
  <c r="H334" i="3"/>
  <c r="H262" i="3"/>
  <c r="H263" i="3"/>
  <c r="H264" i="3"/>
  <c r="H265" i="3"/>
  <c r="H266" i="3"/>
  <c r="H267" i="3"/>
  <c r="H268" i="3"/>
  <c r="H269" i="3"/>
  <c r="H270" i="3"/>
  <c r="H271" i="3"/>
  <c r="H272" i="3"/>
  <c r="L280" i="3"/>
  <c r="K292" i="3"/>
  <c r="D284" i="3"/>
  <c r="D285" i="3"/>
  <c r="D286" i="3"/>
  <c r="D287" i="3"/>
  <c r="D288" i="3"/>
  <c r="D289" i="3"/>
  <c r="D290" i="3"/>
  <c r="D291" i="3"/>
  <c r="D292" i="3"/>
  <c r="D282" i="3"/>
  <c r="D283" i="3"/>
  <c r="D293" i="3"/>
  <c r="N292" i="3"/>
  <c r="M292" i="3"/>
  <c r="L292" i="3"/>
  <c r="F180" i="3"/>
  <c r="F179" i="3"/>
  <c r="B152" i="3"/>
  <c r="E160" i="3"/>
  <c r="F125" i="3"/>
  <c r="E133" i="3"/>
  <c r="G193" i="3"/>
  <c r="F80" i="3"/>
  <c r="C29" i="3"/>
  <c r="C35" i="3"/>
  <c r="E35" i="3"/>
  <c r="C28" i="3"/>
  <c r="C34" i="3"/>
  <c r="E34" i="3"/>
  <c r="I108" i="1"/>
  <c r="G108" i="1"/>
  <c r="G104" i="1"/>
  <c r="I104" i="1"/>
  <c r="I106" i="1"/>
  <c r="G107" i="1"/>
  <c r="E66" i="1"/>
  <c r="G66" i="1"/>
  <c r="I66" i="1"/>
  <c r="F36" i="1"/>
  <c r="C41" i="1"/>
  <c r="C42" i="1"/>
  <c r="D49" i="1"/>
  <c r="E74" i="1"/>
  <c r="E67" i="1"/>
  <c r="G67" i="1"/>
  <c r="I67" i="1"/>
  <c r="D50" i="1"/>
  <c r="E75" i="1"/>
  <c r="E68" i="1"/>
  <c r="G68" i="1"/>
  <c r="I68" i="1"/>
  <c r="D51" i="1"/>
  <c r="E76" i="1"/>
  <c r="E65" i="1"/>
  <c r="G65" i="1"/>
  <c r="I65" i="1"/>
  <c r="D48" i="1"/>
  <c r="E73" i="1"/>
  <c r="E64" i="1"/>
  <c r="G64" i="1"/>
  <c r="I64" i="1"/>
  <c r="E72" i="1"/>
  <c r="C73" i="1"/>
  <c r="C72" i="1"/>
  <c r="C76" i="1"/>
  <c r="C74" i="1"/>
  <c r="C75" i="1"/>
  <c r="J49" i="1"/>
  <c r="J50" i="1"/>
  <c r="J51" i="1"/>
  <c r="J48" i="1"/>
  <c r="G49" i="1"/>
  <c r="G50" i="1"/>
  <c r="G51" i="1"/>
  <c r="G48" i="1"/>
  <c r="F39" i="1"/>
  <c r="C386" i="5"/>
  <c r="C186" i="5"/>
  <c r="A141" i="5"/>
  <c r="A160" i="5"/>
  <c r="A122" i="5"/>
  <c r="A103" i="5"/>
  <c r="B42" i="5"/>
  <c r="Y362" i="4"/>
  <c r="Y361" i="4"/>
  <c r="Y360" i="4"/>
  <c r="Y359" i="4"/>
  <c r="Y358" i="4"/>
  <c r="Y357" i="4"/>
  <c r="Y356" i="4"/>
  <c r="Y355" i="4"/>
  <c r="Y354" i="4"/>
  <c r="Y353" i="4"/>
  <c r="Y352" i="4"/>
  <c r="Y351" i="4"/>
  <c r="Y350" i="4"/>
  <c r="Y349" i="4"/>
  <c r="Y348" i="4"/>
  <c r="Y347" i="4"/>
  <c r="Y346" i="4"/>
  <c r="Y345" i="4"/>
  <c r="Y344" i="4"/>
  <c r="Y343" i="4"/>
  <c r="Y342" i="4"/>
  <c r="Y341" i="4"/>
  <c r="Y340" i="4"/>
  <c r="Y339" i="4"/>
  <c r="Y338" i="4"/>
  <c r="X338" i="4"/>
  <c r="AB337" i="4"/>
  <c r="R337" i="4"/>
  <c r="O362" i="4"/>
  <c r="O339" i="4"/>
  <c r="O340" i="4"/>
  <c r="O341" i="4"/>
  <c r="O342" i="4"/>
  <c r="O343" i="4"/>
  <c r="O344" i="4"/>
  <c r="O345" i="4"/>
  <c r="O346" i="4"/>
  <c r="O347" i="4"/>
  <c r="O348" i="4"/>
  <c r="O349" i="4"/>
  <c r="O350" i="4"/>
  <c r="O351" i="4"/>
  <c r="O352" i="4"/>
  <c r="O353" i="4"/>
  <c r="O354" i="4"/>
  <c r="O355" i="4"/>
  <c r="O356" i="4"/>
  <c r="O357" i="4"/>
  <c r="O358" i="4"/>
  <c r="O359" i="4"/>
  <c r="O360" i="4"/>
  <c r="O361" i="4"/>
  <c r="O338" i="4"/>
  <c r="O314" i="4"/>
  <c r="O315" i="4"/>
  <c r="O316" i="4"/>
  <c r="O317" i="4"/>
  <c r="O318" i="4"/>
  <c r="O319" i="4"/>
  <c r="O320" i="4"/>
  <c r="O321" i="4"/>
  <c r="O322" i="4"/>
  <c r="O323" i="4"/>
  <c r="O324" i="4"/>
  <c r="O325" i="4"/>
  <c r="O326" i="4"/>
  <c r="O327" i="4"/>
  <c r="O328" i="4"/>
  <c r="O329" i="4"/>
  <c r="O330" i="4"/>
  <c r="O331" i="4"/>
  <c r="O332" i="4"/>
  <c r="N338" i="4"/>
  <c r="N328" i="4"/>
  <c r="N323" i="4"/>
  <c r="N318" i="4"/>
  <c r="Q307" i="4"/>
  <c r="V337" i="4"/>
  <c r="V338" i="4"/>
  <c r="L337" i="4"/>
  <c r="L338" i="4"/>
  <c r="R307" i="4"/>
  <c r="W337" i="4"/>
  <c r="AC337" i="4"/>
  <c r="M337" i="4"/>
  <c r="S337" i="4"/>
  <c r="F332" i="4"/>
  <c r="B223" i="4"/>
  <c r="B204" i="4"/>
  <c r="B206" i="4"/>
  <c r="H204" i="4"/>
  <c r="H206" i="4"/>
  <c r="H139" i="4"/>
  <c r="C148" i="4"/>
  <c r="F333" i="4"/>
  <c r="P329" i="4"/>
  <c r="Q338" i="4"/>
  <c r="R338" i="4"/>
  <c r="M338" i="4"/>
  <c r="L339" i="4"/>
  <c r="AA338" i="4"/>
  <c r="AB338" i="4"/>
  <c r="V339" i="4"/>
  <c r="AA339" i="4"/>
  <c r="AB339" i="4"/>
  <c r="P331" i="4"/>
  <c r="M308" i="4"/>
  <c r="R308" i="4"/>
  <c r="P324" i="4"/>
  <c r="P323" i="4"/>
  <c r="P325" i="4"/>
  <c r="P326" i="4"/>
  <c r="P327" i="4"/>
  <c r="P316" i="4"/>
  <c r="P315" i="4"/>
  <c r="P317" i="4"/>
  <c r="P314" i="4"/>
  <c r="L309" i="4"/>
  <c r="P322" i="4"/>
  <c r="P319" i="4"/>
  <c r="P318" i="4"/>
  <c r="P320" i="4"/>
  <c r="P321" i="4"/>
  <c r="C208" i="4"/>
  <c r="B226" i="4"/>
  <c r="B227" i="4"/>
  <c r="B205" i="4"/>
  <c r="H205" i="4"/>
  <c r="C144" i="4"/>
  <c r="P332" i="4"/>
  <c r="P328" i="4"/>
  <c r="P330" i="4"/>
  <c r="Q339" i="4"/>
  <c r="R339" i="4"/>
  <c r="L340" i="4"/>
  <c r="L341" i="4"/>
  <c r="L342" i="4"/>
  <c r="W338" i="4"/>
  <c r="AC338" i="4"/>
  <c r="V340" i="4"/>
  <c r="W339" i="4"/>
  <c r="L310" i="4"/>
  <c r="Q314" i="4"/>
  <c r="Q315" i="4"/>
  <c r="Q316" i="4"/>
  <c r="Q317" i="4"/>
  <c r="Q318" i="4"/>
  <c r="Q319" i="4"/>
  <c r="Q320" i="4"/>
  <c r="Q321" i="4"/>
  <c r="Q322" i="4"/>
  <c r="Q323" i="4"/>
  <c r="Q324" i="4"/>
  <c r="Q325" i="4"/>
  <c r="Q326" i="4"/>
  <c r="Q327" i="4"/>
  <c r="Q328" i="4"/>
  <c r="Q329" i="4"/>
  <c r="Q330" i="4"/>
  <c r="Q331" i="4"/>
  <c r="Q332" i="4"/>
  <c r="S338" i="4"/>
  <c r="H208" i="4"/>
  <c r="C150" i="4"/>
  <c r="C386" i="3"/>
  <c r="B394" i="3"/>
  <c r="C394" i="3"/>
  <c r="D394" i="3"/>
  <c r="E394" i="3"/>
  <c r="F394" i="3"/>
  <c r="G394" i="3"/>
  <c r="H394" i="3"/>
  <c r="C387" i="3"/>
  <c r="B395" i="3"/>
  <c r="C395" i="3"/>
  <c r="D395" i="3"/>
  <c r="E395" i="3"/>
  <c r="F395" i="3"/>
  <c r="G395" i="3"/>
  <c r="H395" i="3"/>
  <c r="C388" i="3"/>
  <c r="B396" i="3"/>
  <c r="C396" i="3"/>
  <c r="D396" i="3"/>
  <c r="E396" i="3"/>
  <c r="F396" i="3"/>
  <c r="G396" i="3"/>
  <c r="H396" i="3"/>
  <c r="C389" i="3"/>
  <c r="B397" i="3"/>
  <c r="C397" i="3"/>
  <c r="D397" i="3"/>
  <c r="E397" i="3"/>
  <c r="F397" i="3"/>
  <c r="G397" i="3"/>
  <c r="H397" i="3"/>
  <c r="C398" i="3"/>
  <c r="G398" i="3"/>
  <c r="C399" i="3"/>
  <c r="D398" i="3"/>
  <c r="D399" i="3"/>
  <c r="E398" i="3"/>
  <c r="E399" i="3"/>
  <c r="F398" i="3"/>
  <c r="F399" i="3"/>
  <c r="B398" i="3"/>
  <c r="B399" i="3"/>
  <c r="F285" i="3"/>
  <c r="F218" i="3"/>
  <c r="F217" i="3"/>
  <c r="F122" i="3"/>
  <c r="J81" i="3"/>
  <c r="F76" i="3"/>
  <c r="G76" i="3"/>
  <c r="J76" i="3"/>
  <c r="F77" i="3"/>
  <c r="G77" i="3"/>
  <c r="J77" i="3"/>
  <c r="F78" i="3"/>
  <c r="I78" i="3"/>
  <c r="J78" i="3"/>
  <c r="F79" i="3"/>
  <c r="G79" i="3"/>
  <c r="H79" i="3"/>
  <c r="I79" i="3"/>
  <c r="J79" i="3"/>
  <c r="G80" i="3"/>
  <c r="H80" i="3"/>
  <c r="I80" i="3"/>
  <c r="J80" i="3"/>
  <c r="F81" i="3"/>
  <c r="G81" i="3"/>
  <c r="H81" i="3"/>
  <c r="I81" i="3"/>
  <c r="F82" i="3"/>
  <c r="G82" i="3"/>
  <c r="H82" i="3"/>
  <c r="I82" i="3"/>
  <c r="J82" i="3"/>
  <c r="E76" i="3"/>
  <c r="E77" i="3"/>
  <c r="E78" i="3"/>
  <c r="E79" i="3"/>
  <c r="D77" i="3"/>
  <c r="D78" i="3"/>
  <c r="D79" i="3"/>
  <c r="D80" i="3"/>
  <c r="D81" i="3"/>
  <c r="D82" i="3"/>
  <c r="D76" i="3"/>
  <c r="L343" i="4"/>
  <c r="L344" i="4"/>
  <c r="L345" i="4"/>
  <c r="L346" i="4"/>
  <c r="L347" i="4"/>
  <c r="L348" i="4"/>
  <c r="L349" i="4"/>
  <c r="L350" i="4"/>
  <c r="L351" i="4"/>
  <c r="L352" i="4"/>
  <c r="L353" i="4"/>
  <c r="L354" i="4"/>
  <c r="L355" i="4"/>
  <c r="L356" i="4"/>
  <c r="L357" i="4"/>
  <c r="L358" i="4"/>
  <c r="L359" i="4"/>
  <c r="L360" i="4"/>
  <c r="L361" i="4"/>
  <c r="L362" i="4"/>
  <c r="Q340" i="4"/>
  <c r="R340" i="4"/>
  <c r="Q341" i="4"/>
  <c r="R341" i="4"/>
  <c r="Q342" i="4"/>
  <c r="R342" i="4"/>
  <c r="V341" i="4"/>
  <c r="AA340" i="4"/>
  <c r="AB340" i="4"/>
  <c r="M339" i="4"/>
  <c r="S339" i="4"/>
  <c r="L311" i="4"/>
  <c r="M310" i="4"/>
  <c r="R310" i="4"/>
  <c r="AC339" i="4"/>
  <c r="M309" i="4"/>
  <c r="R309" i="4"/>
  <c r="C153" i="4"/>
  <c r="C152" i="4"/>
  <c r="C163" i="4"/>
  <c r="C168" i="4"/>
  <c r="F290" i="3"/>
  <c r="F286" i="3"/>
  <c r="F282" i="3"/>
  <c r="F291" i="3"/>
  <c r="F287" i="3"/>
  <c r="F283" i="3"/>
  <c r="F292" i="3"/>
  <c r="F288" i="3"/>
  <c r="F284" i="3"/>
  <c r="F289" i="3"/>
  <c r="C128" i="3"/>
  <c r="AA341" i="4"/>
  <c r="AB341" i="4"/>
  <c r="W341" i="4"/>
  <c r="V342" i="4"/>
  <c r="W340" i="4"/>
  <c r="AC340" i="4"/>
  <c r="L312" i="4"/>
  <c r="M311" i="4"/>
  <c r="R311" i="4"/>
  <c r="M340" i="4"/>
  <c r="S340" i="4"/>
  <c r="E284" i="3"/>
  <c r="E288" i="3"/>
  <c r="E292" i="3"/>
  <c r="E289" i="3"/>
  <c r="E283" i="3"/>
  <c r="E287" i="3"/>
  <c r="E291" i="3"/>
  <c r="E282" i="3"/>
  <c r="E286" i="3"/>
  <c r="E290" i="3"/>
  <c r="E285" i="3"/>
  <c r="G282" i="3"/>
  <c r="G286" i="3"/>
  <c r="G290" i="3"/>
  <c r="G287" i="3"/>
  <c r="G285" i="3"/>
  <c r="G289" i="3"/>
  <c r="G284" i="3"/>
  <c r="G288" i="3"/>
  <c r="G292" i="3"/>
  <c r="G283" i="3"/>
  <c r="G291" i="3"/>
  <c r="H288" i="3"/>
  <c r="F293" i="3"/>
  <c r="I107" i="1"/>
  <c r="G106" i="1"/>
  <c r="I105" i="1"/>
  <c r="G105" i="1"/>
  <c r="H284" i="3"/>
  <c r="H292" i="3"/>
  <c r="H285" i="3"/>
  <c r="H291" i="3"/>
  <c r="AA342" i="4"/>
  <c r="AB342" i="4"/>
  <c r="W342" i="4"/>
  <c r="V343" i="4"/>
  <c r="V344" i="4"/>
  <c r="V345" i="4"/>
  <c r="V346" i="4"/>
  <c r="V347" i="4"/>
  <c r="V348" i="4"/>
  <c r="V349" i="4"/>
  <c r="V350" i="4"/>
  <c r="V351" i="4"/>
  <c r="V352" i="4"/>
  <c r="V353" i="4"/>
  <c r="V354" i="4"/>
  <c r="V355" i="4"/>
  <c r="V356" i="4"/>
  <c r="V357" i="4"/>
  <c r="V358" i="4"/>
  <c r="V359" i="4"/>
  <c r="V360" i="4"/>
  <c r="V361" i="4"/>
  <c r="V362" i="4"/>
  <c r="AC341" i="4"/>
  <c r="M341" i="4"/>
  <c r="S341" i="4"/>
  <c r="L313" i="4"/>
  <c r="M312" i="4"/>
  <c r="R312" i="4"/>
  <c r="J89" i="4"/>
  <c r="J127" i="4"/>
  <c r="E293" i="3"/>
  <c r="H283" i="3"/>
  <c r="H289" i="3"/>
  <c r="G293" i="3"/>
  <c r="H286" i="3"/>
  <c r="H290" i="3"/>
  <c r="H282" i="3"/>
  <c r="H287" i="3"/>
  <c r="G13" i="1"/>
  <c r="E17" i="1"/>
  <c r="G10" i="1"/>
  <c r="E18" i="1"/>
  <c r="C7" i="1"/>
  <c r="M342" i="4"/>
  <c r="L314" i="4"/>
  <c r="M313" i="4"/>
  <c r="R313" i="4"/>
  <c r="H293" i="3"/>
  <c r="C43" i="1"/>
  <c r="G17" i="1"/>
  <c r="N343" i="4"/>
  <c r="R343" i="4"/>
  <c r="R344" i="4"/>
  <c r="R345" i="4"/>
  <c r="R346" i="4"/>
  <c r="R347" i="4"/>
  <c r="R348" i="4"/>
  <c r="R349" i="4"/>
  <c r="R350" i="4"/>
  <c r="R351" i="4"/>
  <c r="R352" i="4"/>
  <c r="R353" i="4"/>
  <c r="R354" i="4"/>
  <c r="R355" i="4"/>
  <c r="R356" i="4"/>
  <c r="R357" i="4"/>
  <c r="R358" i="4"/>
  <c r="R359" i="4"/>
  <c r="R360" i="4"/>
  <c r="R361" i="4"/>
  <c r="R362" i="4"/>
  <c r="S342" i="4"/>
  <c r="X343" i="4"/>
  <c r="AB343" i="4"/>
  <c r="AC342" i="4"/>
  <c r="L315" i="4"/>
  <c r="M314" i="4"/>
  <c r="R314" i="4"/>
  <c r="H51" i="1"/>
  <c r="H49" i="1"/>
  <c r="H48" i="1"/>
  <c r="H50" i="1"/>
  <c r="M343" i="4"/>
  <c r="S343" i="4"/>
  <c r="AB344" i="4"/>
  <c r="W343" i="4"/>
  <c r="AC343" i="4"/>
  <c r="M344" i="4"/>
  <c r="S344" i="4"/>
  <c r="L316" i="4"/>
  <c r="M315" i="4"/>
  <c r="R315" i="4"/>
  <c r="AB345" i="4"/>
  <c r="W344" i="4"/>
  <c r="AC344" i="4"/>
  <c r="M345" i="4"/>
  <c r="S345" i="4"/>
  <c r="L317" i="4"/>
  <c r="M316" i="4"/>
  <c r="R316" i="4"/>
  <c r="AB346" i="4"/>
  <c r="W345" i="4"/>
  <c r="AC345" i="4"/>
  <c r="L318" i="4"/>
  <c r="M317" i="4"/>
  <c r="R317" i="4"/>
  <c r="M346" i="4"/>
  <c r="S346" i="4"/>
  <c r="AB347" i="4"/>
  <c r="W346" i="4"/>
  <c r="AC346" i="4"/>
  <c r="M347" i="4"/>
  <c r="S347" i="4"/>
  <c r="L319" i="4"/>
  <c r="M318" i="4"/>
  <c r="R318" i="4"/>
  <c r="AB348" i="4"/>
  <c r="W347" i="4"/>
  <c r="AC347" i="4"/>
  <c r="M348" i="4"/>
  <c r="S348" i="4"/>
  <c r="L320" i="4"/>
  <c r="M319" i="4"/>
  <c r="R319" i="4"/>
  <c r="AB349" i="4"/>
  <c r="W348" i="4"/>
  <c r="AC348" i="4"/>
  <c r="M349" i="4"/>
  <c r="S349" i="4"/>
  <c r="L321" i="4"/>
  <c r="M320" i="4"/>
  <c r="R320" i="4"/>
  <c r="AB350" i="4"/>
  <c r="W349" i="4"/>
  <c r="AC349" i="4"/>
  <c r="M350" i="4"/>
  <c r="S350" i="4"/>
  <c r="L322" i="4"/>
  <c r="M321" i="4"/>
  <c r="R321" i="4"/>
  <c r="AB351" i="4"/>
  <c r="W350" i="4"/>
  <c r="AC350" i="4"/>
  <c r="L323" i="4"/>
  <c r="M322" i="4"/>
  <c r="R322" i="4"/>
  <c r="M351" i="4"/>
  <c r="S351" i="4"/>
  <c r="AB352" i="4"/>
  <c r="W351" i="4"/>
  <c r="AC351" i="4"/>
  <c r="M352" i="4"/>
  <c r="S352" i="4"/>
  <c r="L324" i="4"/>
  <c r="M323" i="4"/>
  <c r="R323" i="4"/>
  <c r="AB353" i="4"/>
  <c r="W352" i="4"/>
  <c r="AC352" i="4"/>
  <c r="M353" i="4"/>
  <c r="S353" i="4"/>
  <c r="L325" i="4"/>
  <c r="M324" i="4"/>
  <c r="R324" i="4"/>
  <c r="AB354" i="4"/>
  <c r="W353" i="4"/>
  <c r="AC353" i="4"/>
  <c r="L326" i="4"/>
  <c r="M325" i="4"/>
  <c r="R325" i="4"/>
  <c r="M354" i="4"/>
  <c r="S354" i="4"/>
  <c r="AB355" i="4"/>
  <c r="W354" i="4"/>
  <c r="AC354" i="4"/>
  <c r="M355" i="4"/>
  <c r="S355" i="4"/>
  <c r="L327" i="4"/>
  <c r="M326" i="4"/>
  <c r="R326" i="4"/>
  <c r="AB356" i="4"/>
  <c r="W355" i="4"/>
  <c r="AC355" i="4"/>
  <c r="M356" i="4"/>
  <c r="S356" i="4"/>
  <c r="L328" i="4"/>
  <c r="M327" i="4"/>
  <c r="R327" i="4"/>
  <c r="AB357" i="4"/>
  <c r="W356" i="4"/>
  <c r="AC356" i="4"/>
  <c r="L329" i="4"/>
  <c r="M328" i="4"/>
  <c r="R328" i="4"/>
  <c r="M357" i="4"/>
  <c r="S357" i="4"/>
  <c r="AB358" i="4"/>
  <c r="W357" i="4"/>
  <c r="AC357" i="4"/>
  <c r="M358" i="4"/>
  <c r="S358" i="4"/>
  <c r="L330" i="4"/>
  <c r="M329" i="4"/>
  <c r="R329" i="4"/>
  <c r="AB359" i="4"/>
  <c r="W358" i="4"/>
  <c r="AC358" i="4"/>
  <c r="M359" i="4"/>
  <c r="S359" i="4"/>
  <c r="L331" i="4"/>
  <c r="M330" i="4"/>
  <c r="R330" i="4"/>
  <c r="AB360" i="4"/>
  <c r="W359" i="4"/>
  <c r="AC359" i="4"/>
  <c r="L332" i="4"/>
  <c r="M332" i="4"/>
  <c r="R332" i="4"/>
  <c r="M331" i="4"/>
  <c r="R331" i="4"/>
  <c r="M360" i="4"/>
  <c r="S360" i="4"/>
  <c r="AB361" i="4"/>
  <c r="W360" i="4"/>
  <c r="AC360" i="4"/>
  <c r="M362" i="4"/>
  <c r="S362" i="4"/>
  <c r="M361" i="4"/>
  <c r="S361" i="4"/>
  <c r="AB362" i="4"/>
  <c r="W362" i="4"/>
  <c r="AC362" i="4"/>
  <c r="W361" i="4"/>
  <c r="AC361" i="4"/>
  <c r="A718" i="3" a="1"/>
  <c r="A718" i="3"/>
  <c r="B718" i="3"/>
  <c r="C718" i="3"/>
  <c r="D718" i="3"/>
  <c r="A719" i="3"/>
  <c r="B719" i="3"/>
  <c r="C719" i="3"/>
  <c r="D719" i="3"/>
  <c r="A720" i="3"/>
  <c r="B720" i="3"/>
  <c r="C720" i="3"/>
  <c r="D720" i="3"/>
  <c r="A721" i="3"/>
  <c r="B721" i="3"/>
  <c r="C721" i="3"/>
  <c r="D721" i="3"/>
  <c r="A859" i="3" a="1"/>
  <c r="A859" i="3"/>
  <c r="B859" i="3"/>
  <c r="A860" i="3"/>
  <c r="B860" i="3"/>
  <c r="D859" i="3" a="1"/>
  <c r="D860" i="3"/>
  <c r="D866" i="3"/>
  <c r="D859" i="3"/>
  <c r="F718" i="3" a="1"/>
  <c r="F718" i="3"/>
  <c r="C725" i="3"/>
  <c r="F719" i="3"/>
  <c r="D725" i="3"/>
  <c r="F720" i="3"/>
  <c r="F725" i="3"/>
  <c r="F721" i="3"/>
  <c r="H725" i="3"/>
  <c r="J768" i="3"/>
  <c r="J769" i="3"/>
  <c r="J770" i="3"/>
  <c r="J771" i="3"/>
  <c r="J772" i="3"/>
  <c r="J773" i="3"/>
  <c r="J774" i="3"/>
  <c r="J775" i="3"/>
  <c r="J776" i="3"/>
  <c r="F768" i="3"/>
  <c r="F769" i="3"/>
  <c r="F770" i="3"/>
  <c r="F771" i="3"/>
  <c r="F772" i="3"/>
  <c r="F773" i="3"/>
  <c r="F774" i="3"/>
  <c r="F775" i="3"/>
  <c r="F776" i="3"/>
  <c r="J767" i="3"/>
  <c r="F767" i="3"/>
  <c r="F744" i="3"/>
  <c r="H744" i="3"/>
  <c r="B758" i="3"/>
  <c r="F758" i="3"/>
  <c r="J758" i="3"/>
  <c r="F745" i="3"/>
  <c r="H745" i="3"/>
  <c r="B759" i="3"/>
  <c r="F759" i="3"/>
  <c r="J759" i="3"/>
  <c r="F746" i="3"/>
  <c r="H746" i="3"/>
  <c r="B760" i="3"/>
  <c r="F760" i="3"/>
  <c r="J760" i="3"/>
  <c r="F747" i="3"/>
  <c r="H747" i="3"/>
  <c r="B761" i="3"/>
  <c r="F761" i="3"/>
  <c r="J761" i="3"/>
  <c r="F748" i="3"/>
  <c r="H748" i="3"/>
  <c r="B762" i="3"/>
  <c r="F762" i="3"/>
  <c r="J762" i="3"/>
  <c r="F749" i="3"/>
  <c r="H749" i="3"/>
  <c r="B763" i="3"/>
  <c r="F763" i="3"/>
  <c r="J763" i="3"/>
  <c r="F750" i="3"/>
  <c r="H750" i="3"/>
  <c r="B764" i="3"/>
  <c r="F764" i="3"/>
  <c r="J764" i="3"/>
  <c r="F751" i="3"/>
  <c r="H751" i="3"/>
  <c r="B765" i="3"/>
  <c r="F765" i="3"/>
  <c r="J765" i="3"/>
  <c r="F752" i="3"/>
  <c r="H752" i="3"/>
  <c r="B766" i="3"/>
  <c r="F766" i="3"/>
  <c r="J766" i="3"/>
  <c r="F743" i="3"/>
  <c r="H743" i="3"/>
  <c r="B757" i="3"/>
  <c r="F757" i="3"/>
  <c r="J757" i="3"/>
  <c r="B768" i="3"/>
  <c r="B769" i="3"/>
  <c r="B770" i="3"/>
  <c r="B771" i="3"/>
  <c r="B772" i="3"/>
  <c r="B773" i="3"/>
  <c r="B774" i="3"/>
  <c r="B775" i="3"/>
  <c r="B776" i="3"/>
  <c r="B767" i="3"/>
  <c r="C866" i="3"/>
  <c r="F872" i="3"/>
  <c r="B886" i="3"/>
  <c r="F886" i="3"/>
  <c r="J886" i="3"/>
  <c r="F873" i="3"/>
  <c r="B887" i="3"/>
  <c r="F887" i="3"/>
  <c r="J887" i="3"/>
  <c r="F874" i="3"/>
  <c r="B888" i="3"/>
  <c r="F888" i="3"/>
  <c r="J888" i="3"/>
  <c r="F875" i="3"/>
  <c r="B889" i="3"/>
  <c r="F889" i="3"/>
  <c r="J889" i="3"/>
  <c r="F876" i="3"/>
  <c r="B890" i="3"/>
  <c r="F890" i="3"/>
  <c r="J890" i="3"/>
  <c r="F877" i="3"/>
  <c r="B891" i="3"/>
  <c r="F891" i="3"/>
  <c r="J891" i="3"/>
  <c r="F878" i="3"/>
  <c r="B892" i="3"/>
  <c r="F892" i="3"/>
  <c r="J892" i="3"/>
  <c r="F879" i="3"/>
  <c r="B893" i="3"/>
  <c r="F893" i="3"/>
  <c r="J893" i="3"/>
  <c r="F880" i="3"/>
  <c r="B894" i="3"/>
  <c r="F894" i="3"/>
  <c r="J894" i="3"/>
  <c r="F881" i="3"/>
  <c r="B895" i="3"/>
  <c r="F895" i="3"/>
  <c r="J895" i="3"/>
  <c r="G743" i="3"/>
  <c r="G752" i="3"/>
  <c r="G751" i="3"/>
  <c r="G750" i="3"/>
  <c r="G749" i="3"/>
  <c r="G748" i="3"/>
  <c r="G747" i="3"/>
  <c r="G746" i="3"/>
  <c r="G745" i="3"/>
  <c r="G744" i="3"/>
  <c r="I743" i="3"/>
  <c r="I752" i="3"/>
  <c r="I751" i="3"/>
  <c r="I750" i="3"/>
  <c r="I749" i="3"/>
  <c r="I748" i="3"/>
  <c r="I747" i="3"/>
  <c r="I746" i="3"/>
  <c r="I745" i="3"/>
  <c r="I744" i="3"/>
  <c r="B896" i="3"/>
  <c r="B905" i="3"/>
  <c r="B904" i="3"/>
  <c r="B903" i="3"/>
  <c r="B902" i="3"/>
  <c r="B901" i="3"/>
  <c r="B900" i="3"/>
  <c r="B899" i="3"/>
  <c r="B898" i="3"/>
  <c r="B897" i="3"/>
  <c r="F896" i="3"/>
  <c r="F905" i="3"/>
  <c r="F904" i="3"/>
  <c r="F903" i="3"/>
  <c r="F902" i="3"/>
  <c r="F901" i="3"/>
  <c r="F900" i="3"/>
  <c r="F899" i="3"/>
  <c r="F898" i="3"/>
  <c r="F897" i="3"/>
  <c r="J896" i="3"/>
  <c r="J905" i="3"/>
  <c r="J904" i="3"/>
  <c r="J903" i="3"/>
  <c r="J902" i="3"/>
  <c r="J901" i="3"/>
  <c r="J900" i="3"/>
  <c r="J899" i="3"/>
  <c r="J898" i="3"/>
  <c r="J897" i="3"/>
  <c r="G872" i="3"/>
  <c r="G881" i="3"/>
  <c r="G880" i="3"/>
  <c r="G879" i="3"/>
  <c r="G878" i="3"/>
  <c r="G877" i="3"/>
  <c r="G876" i="3"/>
  <c r="G875" i="3"/>
  <c r="G874" i="3"/>
  <c r="G873" i="3"/>
</calcChain>
</file>

<file path=xl/sharedStrings.xml><?xml version="1.0" encoding="utf-8"?>
<sst xmlns="http://schemas.openxmlformats.org/spreadsheetml/2006/main" count="2403" uniqueCount="1085">
  <si>
    <t>Capítulo 1</t>
  </si>
  <si>
    <t xml:space="preserve">Apêndice A: </t>
  </si>
  <si>
    <t xml:space="preserve">1 TEC = </t>
  </si>
  <si>
    <t>BTU</t>
  </si>
  <si>
    <t>1 BEP =</t>
  </si>
  <si>
    <t>Portanto:</t>
  </si>
  <si>
    <t>U$ BTU carvão =</t>
  </si>
  <si>
    <t>=</t>
  </si>
  <si>
    <t>U$</t>
  </si>
  <si>
    <t>U$ BTU Petróleo =</t>
  </si>
  <si>
    <t>Relação Petróleo/Carvão</t>
  </si>
  <si>
    <t>Combustível</t>
  </si>
  <si>
    <t>GJ/t</t>
  </si>
  <si>
    <t>PCS Óleo Comb.</t>
  </si>
  <si>
    <t>Eficiência Gerador</t>
  </si>
  <si>
    <t>Consumo</t>
  </si>
  <si>
    <t>Custo</t>
  </si>
  <si>
    <t>U$/BEP</t>
  </si>
  <si>
    <t>U$/GJ</t>
  </si>
  <si>
    <t>GJ/kg</t>
  </si>
  <si>
    <t>GJ</t>
  </si>
  <si>
    <t>kg/ t vapor</t>
  </si>
  <si>
    <t>Custo 1 t vapor</t>
  </si>
  <si>
    <t>Lenha</t>
  </si>
  <si>
    <t>Carvão</t>
  </si>
  <si>
    <t>PCS</t>
  </si>
  <si>
    <t>PCS GJ/t</t>
  </si>
  <si>
    <t>Eficiência %</t>
  </si>
  <si>
    <t>Energia Total</t>
  </si>
  <si>
    <t>Fator de emissão</t>
  </si>
  <si>
    <t>Óleo combustível</t>
  </si>
  <si>
    <t>Óleo diesel</t>
  </si>
  <si>
    <t>Gás natural</t>
  </si>
  <si>
    <t>Carvão vegetal</t>
  </si>
  <si>
    <t>Fator de Emissão</t>
  </si>
  <si>
    <t>Fator emissão</t>
  </si>
  <si>
    <t>Kg C/GJ</t>
  </si>
  <si>
    <t>Peso Mol</t>
  </si>
  <si>
    <t>g/mol</t>
  </si>
  <si>
    <t>C =</t>
  </si>
  <si>
    <t>O =</t>
  </si>
  <si>
    <t>Tecnologia</t>
  </si>
  <si>
    <t>Tipos mais comuns</t>
  </si>
  <si>
    <t>Incandescente convencional</t>
  </si>
  <si>
    <t>Incandescente halógena</t>
  </si>
  <si>
    <t>Incandescente eficiente</t>
  </si>
  <si>
    <t>Fluorescente convencional</t>
  </si>
  <si>
    <t>Fluorescente eficiente</t>
  </si>
  <si>
    <t>Fluorescente compacta</t>
  </si>
  <si>
    <t>De</t>
  </si>
  <si>
    <t>Para</t>
  </si>
  <si>
    <t>KWh/mês</t>
  </si>
  <si>
    <t>Incandescente convencional (100W)</t>
  </si>
  <si>
    <t>Fluorescente eficiente (16W)</t>
  </si>
  <si>
    <t>Incandescente eficiente (90W)</t>
  </si>
  <si>
    <t>Fluorescente convencional (20W)</t>
  </si>
  <si>
    <t>R$</t>
  </si>
  <si>
    <t>Tarifa</t>
  </si>
  <si>
    <t>Watt</t>
  </si>
  <si>
    <t>Média</t>
  </si>
  <si>
    <t>Refrigerador</t>
  </si>
  <si>
    <t>É confiável uma estimativa de consumo de energia baseada nos dados de vendas dos equipamentos? Faça uma lista das possíveis fontes de erros e incertezas.</t>
  </si>
  <si>
    <t>Potência Média Ref.</t>
  </si>
  <si>
    <t>Potência Média Ar</t>
  </si>
  <si>
    <t>Utilização Refrig.</t>
  </si>
  <si>
    <t>Utilização Ar</t>
  </si>
  <si>
    <t>Vida Refrigerador</t>
  </si>
  <si>
    <t>h</t>
  </si>
  <si>
    <t>W</t>
  </si>
  <si>
    <t>Estoques 1985:</t>
  </si>
  <si>
    <t>novos</t>
  </si>
  <si>
    <t>Substituídos</t>
  </si>
  <si>
    <t>Estimando o consumo de eletricidade, pelos equipamentos citados.</t>
  </si>
  <si>
    <t>Novos:</t>
  </si>
  <si>
    <t>Substituídos:</t>
  </si>
  <si>
    <t>h/ano</t>
  </si>
  <si>
    <t>TWh/ano</t>
  </si>
  <si>
    <t>un.</t>
  </si>
  <si>
    <t>kWh/ano por residência</t>
  </si>
  <si>
    <t>Iluminação incandescente</t>
  </si>
  <si>
    <t>Iluminação fluorescente</t>
  </si>
  <si>
    <t>TV (preta e branca ou colorida)</t>
  </si>
  <si>
    <t>Máquina de lavar roupa</t>
  </si>
  <si>
    <t>Consumo dos equipamentos instalados</t>
  </si>
  <si>
    <t>Beijing</t>
  </si>
  <si>
    <t>Manila</t>
  </si>
  <si>
    <t>Pune</t>
  </si>
  <si>
    <t>Tailândia</t>
  </si>
  <si>
    <t>Nanning</t>
  </si>
  <si>
    <t>Hong Kong</t>
  </si>
  <si>
    <t>Manaus</t>
  </si>
  <si>
    <t>–</t>
  </si>
  <si>
    <t>Chuveiro elétrico</t>
  </si>
  <si>
    <t>Nº residências</t>
  </si>
  <si>
    <t>-</t>
  </si>
  <si>
    <t>Indústria</t>
  </si>
  <si>
    <t>Índia</t>
  </si>
  <si>
    <t>Chile</t>
  </si>
  <si>
    <t>Canadá</t>
  </si>
  <si>
    <t>Argentina</t>
  </si>
  <si>
    <t>%</t>
  </si>
  <si>
    <t>Iluminação</t>
  </si>
  <si>
    <t>Refrigeração</t>
  </si>
  <si>
    <t>Aquecimento processo</t>
  </si>
  <si>
    <t>Aquecimento direto</t>
  </si>
  <si>
    <t>Processo eletroquímico</t>
  </si>
  <si>
    <t>Outros</t>
  </si>
  <si>
    <t>Capítulo 2</t>
  </si>
  <si>
    <t>Refrigerador 1</t>
  </si>
  <si>
    <t>kWh/ano</t>
  </si>
  <si>
    <t>Vida</t>
  </si>
  <si>
    <t>anos</t>
  </si>
  <si>
    <t>Refrigerador 2</t>
  </si>
  <si>
    <t>Taxa</t>
  </si>
  <si>
    <t>Taxa Desconto</t>
  </si>
  <si>
    <t>$</t>
  </si>
  <si>
    <t>$/kWh</t>
  </si>
  <si>
    <t>Economia/ano</t>
  </si>
  <si>
    <t>n=25</t>
  </si>
  <si>
    <t>VP</t>
  </si>
  <si>
    <t>Economia de</t>
  </si>
  <si>
    <t>período</t>
  </si>
  <si>
    <t>Custo Venda</t>
  </si>
  <si>
    <t>c</t>
  </si>
  <si>
    <t>Redução do prejuízo de</t>
  </si>
  <si>
    <t>Kit 1</t>
  </si>
  <si>
    <t>Tempo uso</t>
  </si>
  <si>
    <t>Vida útil</t>
  </si>
  <si>
    <t>Kit 2</t>
  </si>
  <si>
    <t>Economia energia</t>
  </si>
  <si>
    <t>Investimento adicional</t>
  </si>
  <si>
    <t>n=5</t>
  </si>
  <si>
    <t>Custo Marginal</t>
  </si>
  <si>
    <t>Investimento</t>
  </si>
  <si>
    <t>Redução do prejuízo</t>
  </si>
  <si>
    <t>Tipo</t>
  </si>
  <si>
    <t>Quantidade</t>
  </si>
  <si>
    <t>Pot. (W)</t>
  </si>
  <si>
    <t>Pot. Total (W)</t>
  </si>
  <si>
    <t>Dados</t>
  </si>
  <si>
    <t>Ano de referência (X)</t>
  </si>
  <si>
    <t>Taxa de crescimento anual</t>
  </si>
  <si>
    <t>Ano projetado (X+10)</t>
  </si>
  <si>
    <t>População</t>
  </si>
  <si>
    <t>10,5 milhões</t>
  </si>
  <si>
    <t>PIB</t>
  </si>
  <si>
    <t>$33 bilhões</t>
  </si>
  <si>
    <t>Estrutura do PIB</t>
  </si>
  <si>
    <t>20% agricultura</t>
  </si>
  <si>
    <t>10% agricultura</t>
  </si>
  <si>
    <t>50% indústria</t>
  </si>
  <si>
    <t>40% indústria</t>
  </si>
  <si>
    <t>30% comércio e serviços</t>
  </si>
  <si>
    <t>50% comércio e serviços</t>
  </si>
  <si>
    <t>Total</t>
  </si>
  <si>
    <t>TV</t>
  </si>
  <si>
    <t>Máquina de lavar roupas</t>
  </si>
  <si>
    <t>Freezer</t>
  </si>
  <si>
    <t>Geladeira</t>
  </si>
  <si>
    <t>Ventiladores</t>
  </si>
  <si>
    <t>0–2</t>
  </si>
  <si>
    <t>2–5</t>
  </si>
  <si>
    <t>5–10</t>
  </si>
  <si>
    <t>Distribuição Renda</t>
  </si>
  <si>
    <t>un. de valores</t>
  </si>
  <si>
    <t>0-2</t>
  </si>
  <si>
    <t>2-5</t>
  </si>
  <si>
    <t>5-10</t>
  </si>
  <si>
    <t>&gt;10</t>
  </si>
  <si>
    <t>Renda</t>
  </si>
  <si>
    <t>Dispositivo por classe de renda (%)</t>
  </si>
  <si>
    <t>Consumo médio por dispositivo (W)</t>
  </si>
  <si>
    <t>Uso (horas/ano)</t>
  </si>
  <si>
    <t>Consumo (GWh/ano)</t>
  </si>
  <si>
    <t>Totais</t>
  </si>
  <si>
    <t>Ano x</t>
  </si>
  <si>
    <t>Ano x+10</t>
  </si>
  <si>
    <t>RENDA</t>
  </si>
  <si>
    <t xml:space="preserve">Hipóteses: </t>
  </si>
  <si>
    <t>Incandescente</t>
  </si>
  <si>
    <t>Fluorescente</t>
  </si>
  <si>
    <t>Resultado obtido do consumo em GWh.</t>
  </si>
  <si>
    <t>(Considerando o aumento de renda do exercício)</t>
  </si>
  <si>
    <t>Subsetor</t>
  </si>
  <si>
    <t>Ano de referência</t>
  </si>
  <si>
    <t>Ilum.</t>
  </si>
  <si>
    <t>Cocção</t>
  </si>
  <si>
    <t>Refrig.</t>
  </si>
  <si>
    <t>Equip.</t>
  </si>
  <si>
    <t>Comércio pequeno</t>
  </si>
  <si>
    <t>Hotéis</t>
  </si>
  <si>
    <t>Bancos</t>
  </si>
  <si>
    <t>Escolas</t>
  </si>
  <si>
    <t>TOTAL</t>
  </si>
  <si>
    <t>Cocção elétrica</t>
  </si>
  <si>
    <t>Equipamentos</t>
  </si>
  <si>
    <t>Participação</t>
  </si>
  <si>
    <t>Projeção área para ano X+10</t>
  </si>
  <si>
    <t>Área (milhões m²)</t>
  </si>
  <si>
    <t>Consumo estimado para ano X+10, MWh/ano</t>
  </si>
  <si>
    <t>Consumo por área (kWh ano/m²)</t>
  </si>
  <si>
    <t>Capítulo 3</t>
  </si>
  <si>
    <t>Consumidor</t>
  </si>
  <si>
    <t>Aporte</t>
  </si>
  <si>
    <t>Retorno</t>
  </si>
  <si>
    <t>Período</t>
  </si>
  <si>
    <t>Taxa de desconto</t>
  </si>
  <si>
    <t>CE</t>
  </si>
  <si>
    <t>Governo</t>
  </si>
  <si>
    <t>Equação</t>
  </si>
  <si>
    <t>EXEMPLO 3.2 – Existe alguma relação entre a taxa de desconto dos diferentes agentes?</t>
  </si>
  <si>
    <t>Lâmpada modelo A</t>
  </si>
  <si>
    <t>Lâmpada modelo B</t>
  </si>
  <si>
    <t>Potência</t>
  </si>
  <si>
    <t>Preço</t>
  </si>
  <si>
    <t>R$ X (para cada agente)</t>
  </si>
  <si>
    <t>Uso (horas/dia)</t>
  </si>
  <si>
    <t>Valor residual</t>
  </si>
  <si>
    <t>Preço energia</t>
  </si>
  <si>
    <t>ano</t>
  </si>
  <si>
    <t>horas</t>
  </si>
  <si>
    <t>R$/ano</t>
  </si>
  <si>
    <t>R$/MWh</t>
  </si>
  <si>
    <t>MWh/ano</t>
  </si>
  <si>
    <t>Lâmpada A</t>
  </si>
  <si>
    <t>Lâmpada B</t>
  </si>
  <si>
    <t>Custo Lâmpada A</t>
  </si>
  <si>
    <t>Custo Lâmpada B</t>
  </si>
  <si>
    <t>?</t>
  </si>
  <si>
    <t>VPL</t>
  </si>
  <si>
    <t>Ano 1</t>
  </si>
  <si>
    <t>Ano 2</t>
  </si>
  <si>
    <t>Ano 3</t>
  </si>
  <si>
    <t>Ano 4</t>
  </si>
  <si>
    <t>Ano 5</t>
  </si>
  <si>
    <t>Invest.</t>
  </si>
  <si>
    <t>Custo E.E.</t>
  </si>
  <si>
    <t>Ano 0</t>
  </si>
  <si>
    <t>Custo admissível lâmpada b</t>
  </si>
  <si>
    <t>Desconto</t>
  </si>
  <si>
    <t>Lâmp. A</t>
  </si>
  <si>
    <t>Lâmp. B</t>
  </si>
  <si>
    <t>Custo Adm.</t>
  </si>
  <si>
    <t>CM Eletric.</t>
  </si>
  <si>
    <t>US$/kWh</t>
  </si>
  <si>
    <t>Participantes</t>
  </si>
  <si>
    <t>Acionistas</t>
  </si>
  <si>
    <t>Contribuintes</t>
  </si>
  <si>
    <t>Custo LCF</t>
  </si>
  <si>
    <t>Calculando o benefício social do programa:</t>
  </si>
  <si>
    <t>Elétrico</t>
  </si>
  <si>
    <t>Gás</t>
  </si>
  <si>
    <t>Emissões Aquec. Gás</t>
  </si>
  <si>
    <t>$/MWh</t>
  </si>
  <si>
    <t>Custo Gás</t>
  </si>
  <si>
    <t>Taxa desc.</t>
  </si>
  <si>
    <t>FRC</t>
  </si>
  <si>
    <t>En. útil</t>
  </si>
  <si>
    <t>DADOS:</t>
  </si>
  <si>
    <t>RESOLUÇÃO</t>
  </si>
  <si>
    <t>Emissões</t>
  </si>
  <si>
    <t>Aquecedor a gás:</t>
  </si>
  <si>
    <t>$/ano</t>
  </si>
  <si>
    <t>Aquecedor elétrico:</t>
  </si>
  <si>
    <t>CA Gás</t>
  </si>
  <si>
    <t>CA elétrico</t>
  </si>
  <si>
    <t>Economia com Gás</t>
  </si>
  <si>
    <t>Emissões evitadas com aquec. a gás</t>
  </si>
  <si>
    <t>COP</t>
  </si>
  <si>
    <t>Pré-aquecedor solar</t>
  </si>
  <si>
    <t>Vida (ano)</t>
  </si>
  <si>
    <t>Investimento (R$)</t>
  </si>
  <si>
    <t>Consumo médio (kWh/ano)</t>
  </si>
  <si>
    <t>Custo anual (R$)</t>
  </si>
  <si>
    <t>Taxa CE</t>
  </si>
  <si>
    <t>/ano</t>
  </si>
  <si>
    <t>- Valor ainda menor que o gás (5,4 MWh/ano)</t>
  </si>
  <si>
    <t>- A emissão ainda será ligeiramente maior que no caso do gás.</t>
  </si>
  <si>
    <t>Idade (anos)</t>
  </si>
  <si>
    <t>O modelo B foi desenvolvido como parte de um programa do governo para reduzir o consumo de energia e competirá com o modelo A nos anos seguintes, diferenciando-se somente no consumo de energia. Você deve considerar que quando o novo modelo for lançado:</t>
  </si>
  <si>
    <t>Modelo A</t>
  </si>
  <si>
    <t>Modelo B</t>
  </si>
  <si>
    <t>Geladeiras no ano base</t>
  </si>
  <si>
    <t>Modelos A</t>
  </si>
  <si>
    <t>Modelos B</t>
  </si>
  <si>
    <t>Novas</t>
  </si>
  <si>
    <t>un./ano</t>
  </si>
  <si>
    <t xml:space="preserve">Número </t>
  </si>
  <si>
    <t>(%)</t>
  </si>
  <si>
    <t>Substituições espontâneas</t>
  </si>
  <si>
    <t>Ano 1 a 5</t>
  </si>
  <si>
    <t>Ano 6 a 10</t>
  </si>
  <si>
    <t>Ano 11 a 15</t>
  </si>
  <si>
    <t>Ano 16 a 20</t>
  </si>
  <si>
    <t>Ano 21 a 25</t>
  </si>
  <si>
    <t>GWh/ano</t>
  </si>
  <si>
    <t>SEM PLANO</t>
  </si>
  <si>
    <t>PLANO B</t>
  </si>
  <si>
    <t>Ano</t>
  </si>
  <si>
    <t>Energia</t>
  </si>
  <si>
    <t>Itens</t>
  </si>
  <si>
    <t>Valores</t>
  </si>
  <si>
    <t>Outros dados</t>
  </si>
  <si>
    <t>Número de domicílios</t>
  </si>
  <si>
    <t>Número de lâmpadas/domicílio</t>
  </si>
  <si>
    <t>Custo CE (lâmpada eficiente em $/kWh)</t>
  </si>
  <si>
    <t>Taxa de participação</t>
  </si>
  <si>
    <t>Número total de lâmpadas</t>
  </si>
  <si>
    <t>Consumo lâmpada eficiente (kWh/ano)</t>
  </si>
  <si>
    <t>Preço de mercado por unidade</t>
  </si>
  <si>
    <t>Custo de energia para o consumidor ($/kWh)</t>
  </si>
  <si>
    <t>Desconto (sobre o preço de mercado)</t>
  </si>
  <si>
    <t>Taxa de atratividade para a CE</t>
  </si>
  <si>
    <t>Preço final da lâmpada (para o consumidor)</t>
  </si>
  <si>
    <t>Taxa de atratividade para o consumidor</t>
  </si>
  <si>
    <t xml:space="preserve">   Projeto e negociação</t>
  </si>
  <si>
    <t xml:space="preserve">   Marketing, propaganda, campanha etc.</t>
  </si>
  <si>
    <t xml:space="preserve">      Propaganda</t>
  </si>
  <si>
    <t xml:space="preserve">      Campanha</t>
  </si>
  <si>
    <t xml:space="preserve">      Pessoal alocado para o programa</t>
  </si>
  <si>
    <t xml:space="preserve">      Treinamento de pessoal</t>
  </si>
  <si>
    <t xml:space="preserve">      Custos operacionais (instalação)</t>
  </si>
  <si>
    <t xml:space="preserve">   Custo para a companhia</t>
  </si>
  <si>
    <t>CUSTO TOTAL</t>
  </si>
  <si>
    <t>Consumo lâmpada eficiente</t>
  </si>
  <si>
    <t xml:space="preserve">Para o consumidor </t>
  </si>
  <si>
    <t>KWh/ano</t>
  </si>
  <si>
    <t>EXEMPLO 3.12 – Usando os resultados obtidos no EXEMPLO 3.11, elabore um gráfico indicando a economia líquida do programa para a CE e para o consumidor, aplicando diferentes valores de descontos (5%, 10%, 15%,...,40%).</t>
  </si>
  <si>
    <t>Economia da CE por kWh</t>
  </si>
  <si>
    <t>/kWh</t>
  </si>
  <si>
    <t>Economia por kWh para o consumidor</t>
  </si>
  <si>
    <t>EXEMPLO 3.13 – Ainda usando os resultados obtidos no EXEMPLO 3.11, substitua a participação para 90% com um custo de propaganda de $70.000. Calcule a economia líquida do programa para a CE.</t>
  </si>
  <si>
    <t>Quais são os programas/políticas com as maiores economias de MWh e MW? Quais são os programas/políticas com as menores economias? Discuta algumas razões que possam explicar as diferenças observadas.</t>
  </si>
  <si>
    <t>Conforme planilha BRAKCH3.xls</t>
  </si>
  <si>
    <t>O potencial de economia seria de pouco mais de 2 TWh anuais.</t>
  </si>
  <si>
    <t>Capítulo 4</t>
  </si>
  <si>
    <t>Investim.</t>
  </si>
  <si>
    <t>C oper.</t>
  </si>
  <si>
    <t>a.a.</t>
  </si>
  <si>
    <t>Usina</t>
  </si>
  <si>
    <t>Poder calorífico</t>
  </si>
  <si>
    <t>(GJ/MWh)</t>
  </si>
  <si>
    <t>Custo do</t>
  </si>
  <si>
    <t>combustível ($/GJ)</t>
  </si>
  <si>
    <t>Custo variável</t>
  </si>
  <si>
    <t>($/kWh)</t>
  </si>
  <si>
    <t>de despacho</t>
  </si>
  <si>
    <t>Capacidade</t>
  </si>
  <si>
    <t>(MW)</t>
  </si>
  <si>
    <t>Hidroelétrica</t>
  </si>
  <si>
    <t>s/d</t>
  </si>
  <si>
    <t>carga de base</t>
  </si>
  <si>
    <t>carga intermediária</t>
  </si>
  <si>
    <t>Turbina combustível</t>
  </si>
  <si>
    <t>carga de pico</t>
  </si>
  <si>
    <t>Eólica</t>
  </si>
  <si>
    <t>intermitente</t>
  </si>
  <si>
    <t>CMO =</t>
  </si>
  <si>
    <t>Despacho</t>
  </si>
  <si>
    <t>Base</t>
  </si>
  <si>
    <t>Intermediária</t>
  </si>
  <si>
    <t>Intermitente</t>
  </si>
  <si>
    <t>Ponta</t>
  </si>
  <si>
    <t>útil</t>
  </si>
  <si>
    <t>Construção</t>
  </si>
  <si>
    <t>(anos)</t>
  </si>
  <si>
    <t>Custo do capital</t>
  </si>
  <si>
    <t>($ milhões)</t>
  </si>
  <si>
    <t>Custo fixo</t>
  </si>
  <si>
    <t>Hidro</t>
  </si>
  <si>
    <t>base</t>
  </si>
  <si>
    <t>intermediário</t>
  </si>
  <si>
    <t>pico</t>
  </si>
  <si>
    <t>Capex</t>
  </si>
  <si>
    <t>Valor total por kW =</t>
  </si>
  <si>
    <t>$/kW</t>
  </si>
  <si>
    <t>$/kW ano</t>
  </si>
  <si>
    <t>Valor total por kW anualizado =</t>
  </si>
  <si>
    <t>base (ano 0)</t>
  </si>
  <si>
    <t>base (ano 5)</t>
  </si>
  <si>
    <t>Custo do kWh "produzido" pelo GLD</t>
  </si>
  <si>
    <t>Geotérmica</t>
  </si>
  <si>
    <t>MW</t>
  </si>
  <si>
    <t>Horas/ano</t>
  </si>
  <si>
    <t>MWh</t>
  </si>
  <si>
    <t>No</t>
  </si>
  <si>
    <t>Fator de</t>
  </si>
  <si>
    <t>capacidade</t>
  </si>
  <si>
    <t>CMO</t>
  </si>
  <si>
    <t>CME anualizado</t>
  </si>
  <si>
    <t>($/kW)</t>
  </si>
  <si>
    <t>Existentes</t>
  </si>
  <si>
    <t>Usina de gás</t>
  </si>
  <si>
    <t>Usina de carvão</t>
  </si>
  <si>
    <t xml:space="preserve">Usina de carvão recondicionada </t>
  </si>
  <si>
    <t>Usina de carvão com filtro</t>
  </si>
  <si>
    <t>Usina eólica</t>
  </si>
  <si>
    <t>Turbina de combustão</t>
  </si>
  <si>
    <t>Energia/ano</t>
  </si>
  <si>
    <t>CME do sistema de expansão</t>
  </si>
  <si>
    <t>CME =</t>
  </si>
  <si>
    <t>Hora</t>
  </si>
  <si>
    <t>Demanda (MW)</t>
  </si>
  <si>
    <t>Consumo E.E. =</t>
  </si>
  <si>
    <t>Pico</t>
  </si>
  <si>
    <t>GWh</t>
  </si>
  <si>
    <t>A – Esquema de tarifa simples</t>
  </si>
  <si>
    <t>B – Esquema de tarifa de bloco</t>
  </si>
  <si>
    <t>Consumo (kWh/mês)</t>
  </si>
  <si>
    <t>0 – 1000</t>
  </si>
  <si>
    <t>D</t>
  </si>
  <si>
    <t>08:00 – 12:00</t>
  </si>
  <si>
    <t>D e C</t>
  </si>
  <si>
    <t>1000 – 1500</t>
  </si>
  <si>
    <t>C</t>
  </si>
  <si>
    <t>12:00 – 18:00 (ponta)</t>
  </si>
  <si>
    <t>sobre 1500</t>
  </si>
  <si>
    <t>demais horários</t>
  </si>
  <si>
    <t>Staff</t>
  </si>
  <si>
    <t>Salário ($/mês) (08:00 às 16:00 hs.)</t>
  </si>
  <si>
    <t>Salário ($/mês) (16:00 às 24:00 hs.)</t>
  </si>
  <si>
    <t>Trabalhador A</t>
  </si>
  <si>
    <t>Trabalhador B</t>
  </si>
  <si>
    <t>Trabalhador C</t>
  </si>
  <si>
    <t>Trabalhador D</t>
  </si>
  <si>
    <t>Perfil de carga</t>
  </si>
  <si>
    <t>Consumo kWh</t>
  </si>
  <si>
    <t>(dia de trabalho)</t>
  </si>
  <si>
    <t>08:00 – 12:00 hs.</t>
  </si>
  <si>
    <t>12:00 – 14:00 hs.</t>
  </si>
  <si>
    <t>14:00 – 18:00 hs.</t>
  </si>
  <si>
    <t>18:00 – 24:00 hs.</t>
  </si>
  <si>
    <t>24:00 – 08:00 hs.</t>
  </si>
  <si>
    <t>Trapézio</t>
  </si>
  <si>
    <t>Triângulo (Pico)</t>
  </si>
  <si>
    <t>$ kWh</t>
  </si>
  <si>
    <t>Dias de trabalho</t>
  </si>
  <si>
    <t>Dias sem trabalho</t>
  </si>
  <si>
    <t>Consumo MWh</t>
  </si>
  <si>
    <t>Total $</t>
  </si>
  <si>
    <t>Total $ =</t>
  </si>
  <si>
    <t>Tarifa em bloco</t>
  </si>
  <si>
    <t>Considerando 20 dias de trabalho e 10 sem trabalho</t>
  </si>
  <si>
    <t>Produção diária</t>
  </si>
  <si>
    <t>Considerando que nos salários dos funcionários já estão inclusos os encargos</t>
  </si>
  <si>
    <t>Produção mensal</t>
  </si>
  <si>
    <t>Primeiro período</t>
  </si>
  <si>
    <t>Segundo período</t>
  </si>
  <si>
    <t>Despesas totais mensais ($)</t>
  </si>
  <si>
    <t>Pm =</t>
  </si>
  <si>
    <t>Fator de carga ponta</t>
  </si>
  <si>
    <t>Fator de carga fora ponta</t>
  </si>
  <si>
    <t>Calculando o valor de k:</t>
  </si>
  <si>
    <t>k =</t>
  </si>
  <si>
    <t>FP =</t>
  </si>
  <si>
    <t>∆V =</t>
  </si>
  <si>
    <t>V</t>
  </si>
  <si>
    <t>v</t>
  </si>
  <si>
    <t>∆V/V =</t>
  </si>
  <si>
    <t>Fator de carga</t>
  </si>
  <si>
    <t>FC =</t>
  </si>
  <si>
    <t xml:space="preserve"> (Menos da metade do valor antes do investimento)</t>
  </si>
  <si>
    <t>Com o FRC calculamos o custo anualizado do investimento ($1.000.000)</t>
  </si>
  <si>
    <t>FRC =</t>
  </si>
  <si>
    <t>Custo total =</t>
  </si>
  <si>
    <t>Custo anualizado =</t>
  </si>
  <si>
    <t>FC (antigo)=</t>
  </si>
  <si>
    <t>FC (novo) =</t>
  </si>
  <si>
    <t>Ganho:</t>
  </si>
  <si>
    <t>Antes do investimento, com o gerenciamento de carga somente (FC=0,72), seria possível vender:</t>
  </si>
  <si>
    <t>Fonte</t>
  </si>
  <si>
    <t>Carvão existente</t>
  </si>
  <si>
    <t>Nova a gás</t>
  </si>
  <si>
    <t>Uma nova usina a gás substituindo uma usina a carvão existente:</t>
  </si>
  <si>
    <t>CAE =</t>
  </si>
  <si>
    <t>Uma usina eólica substituindo uma usina a carvão:</t>
  </si>
  <si>
    <t>Uma usina eólica substituindo uma usina a gás:</t>
  </si>
  <si>
    <t>Tipo de usina e opção GLD</t>
  </si>
  <si>
    <t>vs. gás existente</t>
  </si>
  <si>
    <t>vs. nova a carvão</t>
  </si>
  <si>
    <t>vs. carvão existente</t>
  </si>
  <si>
    <t>GLD 1</t>
  </si>
  <si>
    <t>GLD 2</t>
  </si>
  <si>
    <t>Turbinas de combustão</t>
  </si>
  <si>
    <t>Capac.</t>
  </si>
  <si>
    <t>Fator de capac.</t>
  </si>
  <si>
    <t>anual</t>
  </si>
  <si>
    <t>CMO ($/kWh)</t>
  </si>
  <si>
    <t>CME ($/kW-ano)</t>
  </si>
  <si>
    <t>–0,001</t>
  </si>
  <si>
    <t>Gerenciamento de carga</t>
  </si>
  <si>
    <t>–0,05</t>
  </si>
  <si>
    <t>–44</t>
  </si>
  <si>
    <t>Solução:</t>
  </si>
  <si>
    <t>Recursos</t>
  </si>
  <si>
    <t>Custos Marginais ($/kWh)</t>
  </si>
  <si>
    <t xml:space="preserve">Carvão recondicionada </t>
  </si>
  <si>
    <t>$/tNOX</t>
  </si>
  <si>
    <t>Residências</t>
  </si>
  <si>
    <t>População X 10</t>
  </si>
  <si>
    <t>Demanda</t>
  </si>
  <si>
    <t>BEP      =</t>
  </si>
  <si>
    <t>Combustível kg</t>
  </si>
  <si>
    <t>Emissão total</t>
  </si>
  <si>
    <t>kg C</t>
  </si>
  <si>
    <t>LED PAR38</t>
  </si>
  <si>
    <t>LED PAR38 (15W)</t>
  </si>
  <si>
    <t>W (20W, 5% reator)</t>
  </si>
  <si>
    <t>W (16W, 5% reator)</t>
  </si>
  <si>
    <t>População X+10</t>
  </si>
  <si>
    <t>Consumo sob efeito substitutivo</t>
  </si>
  <si>
    <t>Consumo projetado</t>
  </si>
  <si>
    <t>Redução do consumo promovida</t>
  </si>
  <si>
    <t>Resultado/Renda</t>
  </si>
  <si>
    <t>&lt;10</t>
  </si>
  <si>
    <t>10&lt;P&lt;40</t>
  </si>
  <si>
    <t>40&lt;P&lt;100</t>
  </si>
  <si>
    <t>100&lt;P&lt;200</t>
  </si>
  <si>
    <t>200&lt;P&lt;300</t>
  </si>
  <si>
    <t>Metalurgia</t>
  </si>
  <si>
    <t>Elétrico/Eletrônica</t>
  </si>
  <si>
    <t>Madeira</t>
  </si>
  <si>
    <t>Químico</t>
  </si>
  <si>
    <t>Têxtil</t>
  </si>
  <si>
    <t>Alimentos e Bebidas</t>
  </si>
  <si>
    <t>Transporte</t>
  </si>
  <si>
    <t>I</t>
  </si>
  <si>
    <t>M</t>
  </si>
  <si>
    <t>E(X)</t>
  </si>
  <si>
    <t>E(X+10)</t>
  </si>
  <si>
    <t>kW/U$</t>
  </si>
  <si>
    <t>hora/ano</t>
  </si>
  <si>
    <t>Crescimento</t>
  </si>
  <si>
    <t>Tabelas reproduzidas e calculadas</t>
  </si>
  <si>
    <t>MOTORES INCLUÍDOS POR SUBSTITUIÇÃO</t>
  </si>
  <si>
    <t>TOTAL [%]</t>
  </si>
  <si>
    <t>TOTAL [GWh]</t>
  </si>
  <si>
    <t>Consumo de petróleo</t>
  </si>
  <si>
    <t>PIB (U$ PPP 2005)</t>
  </si>
  <si>
    <t>Frota de veículos</t>
  </si>
  <si>
    <t>(milhões)</t>
  </si>
  <si>
    <t>Caso Base</t>
  </si>
  <si>
    <t>Estagnação</t>
  </si>
  <si>
    <t>População (POP)</t>
  </si>
  <si>
    <t>PIB (Y)</t>
  </si>
  <si>
    <t>Frota de veículos (FROTA)</t>
  </si>
  <si>
    <t>Taxas de variações (% a.a. entre 2011 e 2020)</t>
  </si>
  <si>
    <t>Solução: encontrar a matriz de coeficientes beta</t>
  </si>
  <si>
    <t>Y</t>
  </si>
  <si>
    <t>X</t>
  </si>
  <si>
    <t>Beta</t>
  </si>
  <si>
    <t>TABELA VIII.5</t>
  </si>
  <si>
    <t>FATORES DE CONVERSÃO PARA ENERGIA</t>
  </si>
  <si>
    <t>TABLE VIII.5</t>
  </si>
  <si>
    <t>ENERGY CONVERSION FACTORS</t>
  </si>
  <si>
    <t xml:space="preserve">Multiplicar por                              </t>
  </si>
  <si>
    <t xml:space="preserve"> para</t>
  </si>
  <si>
    <t>J</t>
  </si>
  <si>
    <t>cal</t>
  </si>
  <si>
    <t>kWh</t>
  </si>
  <si>
    <t xml:space="preserve">for  </t>
  </si>
  <si>
    <t xml:space="preserve">Multiply by </t>
  </si>
  <si>
    <t>de</t>
  </si>
  <si>
    <t>from</t>
  </si>
  <si>
    <t>Joule</t>
  </si>
  <si>
    <t xml:space="preserve"> (J)</t>
  </si>
  <si>
    <t xml:space="preserve">Joule </t>
  </si>
  <si>
    <t xml:space="preserve">British Thermal Unit </t>
  </si>
  <si>
    <t>(BTU)</t>
  </si>
  <si>
    <t>1,055 x 10³</t>
  </si>
  <si>
    <t xml:space="preserve">Caloria </t>
  </si>
  <si>
    <t>(cal)</t>
  </si>
  <si>
    <t xml:space="preserve">calorie </t>
  </si>
  <si>
    <t>Quilowatt-hora</t>
  </si>
  <si>
    <t xml:space="preserve"> (kWh)</t>
  </si>
  <si>
    <t>860 x 10³</t>
  </si>
  <si>
    <t xml:space="preserve">kilowatt-hour </t>
  </si>
  <si>
    <t>Ton. equivalente de petróleo</t>
  </si>
  <si>
    <t xml:space="preserve"> (tep)</t>
  </si>
  <si>
    <t>11,63 x 10³</t>
  </si>
  <si>
    <t xml:space="preserve"> (toe)</t>
  </si>
  <si>
    <t xml:space="preserve">Tons of oil equivalent </t>
  </si>
  <si>
    <t xml:space="preserve">Barril equivalente de petróleo </t>
  </si>
  <si>
    <t>(bep)</t>
  </si>
  <si>
    <t>1,65 x 10³</t>
  </si>
  <si>
    <t>(boe)</t>
  </si>
  <si>
    <t xml:space="preserve">barrels of oil equivalent </t>
  </si>
  <si>
    <t>MODELO DE REGRESSÃO OBTIDO</t>
  </si>
  <si>
    <t>(POP [MM])</t>
  </si>
  <si>
    <t>(PIB [MM])</t>
  </si>
  <si>
    <t>(FROTA [MM])</t>
  </si>
  <si>
    <t>Modelo de Regressão</t>
  </si>
  <si>
    <t>Tabela Original</t>
  </si>
  <si>
    <t>Erro</t>
  </si>
  <si>
    <t>Agropecuário</t>
  </si>
  <si>
    <t>Comercial e Público</t>
  </si>
  <si>
    <t>Setor Energético</t>
  </si>
  <si>
    <t>Conteúdo Energético</t>
  </si>
  <si>
    <t>Estrutura Econômica</t>
  </si>
  <si>
    <t>Atividade Econômica</t>
  </si>
  <si>
    <t>Ci(t)</t>
  </si>
  <si>
    <t>Si(t)</t>
  </si>
  <si>
    <t>PIB (t)</t>
  </si>
  <si>
    <t>Serviço Energético</t>
  </si>
  <si>
    <t>Ei (t)</t>
  </si>
  <si>
    <t>Atividade Setorial</t>
  </si>
  <si>
    <t>Ai (t)</t>
  </si>
  <si>
    <t>Tx. Ativ. Econ.</t>
  </si>
  <si>
    <t>Tx. Cont. Energ.</t>
  </si>
  <si>
    <t>Tx. Est. Econ.</t>
  </si>
  <si>
    <t>u (tk)</t>
  </si>
  <si>
    <t>ci (tk)</t>
  </si>
  <si>
    <t>si (tk)</t>
  </si>
  <si>
    <t>Efeito da Ativ. Econ.</t>
  </si>
  <si>
    <t>Efeito do Cont. Energ.</t>
  </si>
  <si>
    <t>ECi (tk)</t>
  </si>
  <si>
    <t>EPIB (tk)</t>
  </si>
  <si>
    <t>Efeito da Est. Econ.</t>
  </si>
  <si>
    <t>ESi (tk)</t>
  </si>
  <si>
    <t>Petróleo e derivados</t>
  </si>
  <si>
    <t>População IBGE</t>
  </si>
  <si>
    <t>PIB per capita</t>
  </si>
  <si>
    <t>(U$ PPP constante 2008)</t>
  </si>
  <si>
    <t>Transformar TEP/ano em boe/ano (multiplicador) =</t>
  </si>
  <si>
    <t>(Y/POP)</t>
  </si>
  <si>
    <t>X = Y/POP</t>
  </si>
  <si>
    <t>Y = log(E/POP)</t>
  </si>
  <si>
    <t>Log (E/POP) =</t>
  </si>
  <si>
    <t>bbl</t>
  </si>
  <si>
    <t>(milhares)</t>
  </si>
  <si>
    <t>Real</t>
  </si>
  <si>
    <t xml:space="preserve"> </t>
  </si>
  <si>
    <t>Soma</t>
  </si>
  <si>
    <t>Chuveiro</t>
  </si>
  <si>
    <t>Pré-aquecedor</t>
  </si>
  <si>
    <t>PLANO A</t>
  </si>
  <si>
    <t>Para a CE</t>
  </si>
  <si>
    <t>Substituição de lâmpadas</t>
  </si>
  <si>
    <t>Custo do programa de GLD</t>
  </si>
  <si>
    <t>Período do programa de GLD</t>
  </si>
  <si>
    <t>Custo de lâmpadas eficientes</t>
  </si>
  <si>
    <t>Custo de lâmpadas não eficientes</t>
  </si>
  <si>
    <t>Energia não ofertada pela CE</t>
  </si>
  <si>
    <t>Custo evitado para o consumidor</t>
  </si>
  <si>
    <t>Custo evitado da oferta de EE</t>
  </si>
  <si>
    <t>lâmp.</t>
  </si>
  <si>
    <t>Custo evitado pelo GLD ao consumidor</t>
  </si>
  <si>
    <t>Economia do consumidor por kWh</t>
  </si>
  <si>
    <t>$/ano*</t>
  </si>
  <si>
    <t>Benefício</t>
  </si>
  <si>
    <t>Por partes</t>
  </si>
  <si>
    <t>Análise do Investimento para o Consumidor</t>
  </si>
  <si>
    <t xml:space="preserve">Análise do Investimento para a CE </t>
  </si>
  <si>
    <t>Sem GLD</t>
  </si>
  <si>
    <t>Com GLD</t>
  </si>
  <si>
    <t>Análise Incremental de Investimento</t>
  </si>
  <si>
    <t>Escopo</t>
  </si>
  <si>
    <t>Com - Sem</t>
  </si>
  <si>
    <t>Fluxo de Caixa</t>
  </si>
  <si>
    <t>VP( R ) [$milhões]</t>
  </si>
  <si>
    <t>PMT(Ktal)</t>
  </si>
  <si>
    <t>Ano de oper.</t>
  </si>
  <si>
    <t>VPL (Ktal)</t>
  </si>
  <si>
    <t>VPL (O&amp;M)</t>
  </si>
  <si>
    <t>VPL (CM)</t>
  </si>
  <si>
    <t>VPL(Ktal)</t>
  </si>
  <si>
    <t>CME [$/MW]</t>
  </si>
  <si>
    <t>CME [$/kW a.a.]</t>
  </si>
  <si>
    <t>Custo Ktal[$]</t>
  </si>
  <si>
    <t>Custo O&amp;M[$]</t>
  </si>
  <si>
    <t>Fluxo de Cx [$]</t>
  </si>
  <si>
    <t>Turbina</t>
  </si>
  <si>
    <t>GW</t>
  </si>
  <si>
    <t>Demanda de Pico =</t>
  </si>
  <si>
    <t>Consumo (MWh/mês)</t>
  </si>
  <si>
    <t>[0</t>
  </si>
  <si>
    <t>1]</t>
  </si>
  <si>
    <t>]1</t>
  </si>
  <si>
    <t>1,5]</t>
  </si>
  <si>
    <t>]1,5</t>
  </si>
  <si>
    <t>&gt;1,5]</t>
  </si>
  <si>
    <t>MWh/mês</t>
  </si>
  <si>
    <t xml:space="preserve">Consumo </t>
  </si>
  <si>
    <t>Análise</t>
  </si>
  <si>
    <t>Total do mês</t>
  </si>
  <si>
    <t>Horas ano (h) =</t>
  </si>
  <si>
    <r>
      <t>10</t>
    </r>
    <r>
      <rPr>
        <vertAlign val="superscript"/>
        <sz val="11"/>
        <rFont val="Calibri"/>
      </rPr>
      <t>6</t>
    </r>
    <r>
      <rPr>
        <sz val="11"/>
        <rFont val="Calibri"/>
      </rPr>
      <t>xBTU</t>
    </r>
  </si>
  <si>
    <r>
      <t>X</t>
    </r>
    <r>
      <rPr>
        <b/>
        <vertAlign val="superscript"/>
        <sz val="11"/>
        <rFont val="Calibri"/>
        <family val="2"/>
        <scheme val="minor"/>
      </rPr>
      <t>(T)</t>
    </r>
  </si>
  <si>
    <r>
      <t>X</t>
    </r>
    <r>
      <rPr>
        <b/>
        <vertAlign val="superscript"/>
        <sz val="11"/>
        <rFont val="Calibri"/>
        <family val="2"/>
        <scheme val="minor"/>
      </rPr>
      <t>(T)</t>
    </r>
    <r>
      <rPr>
        <b/>
        <sz val="11"/>
        <rFont val="Calibri"/>
        <family val="2"/>
        <scheme val="minor"/>
      </rPr>
      <t xml:space="preserve"> Y</t>
    </r>
  </si>
  <si>
    <r>
      <t>X</t>
    </r>
    <r>
      <rPr>
        <b/>
        <vertAlign val="superscript"/>
        <sz val="11"/>
        <rFont val="Calibri"/>
        <family val="2"/>
        <scheme val="minor"/>
      </rPr>
      <t>(T)</t>
    </r>
    <r>
      <rPr>
        <b/>
        <sz val="11"/>
        <rFont val="Calibri"/>
        <family val="2"/>
        <scheme val="minor"/>
      </rPr>
      <t xml:space="preserve"> X</t>
    </r>
  </si>
  <si>
    <r>
      <t>[X</t>
    </r>
    <r>
      <rPr>
        <b/>
        <vertAlign val="superscript"/>
        <sz val="11"/>
        <rFont val="Calibri"/>
        <family val="2"/>
        <scheme val="minor"/>
      </rPr>
      <t>(T)</t>
    </r>
    <r>
      <rPr>
        <b/>
        <sz val="11"/>
        <rFont val="Calibri"/>
        <family val="2"/>
        <scheme val="minor"/>
      </rPr>
      <t xml:space="preserve"> X]</t>
    </r>
    <r>
      <rPr>
        <b/>
        <vertAlign val="superscript"/>
        <sz val="11"/>
        <rFont val="Calibri"/>
        <family val="2"/>
        <scheme val="minor"/>
      </rPr>
      <t>-1</t>
    </r>
  </si>
  <si>
    <t>EXEMPLO 3.1 – Calcule a taxa de desconto para um investimento em um compressor eficiente considerando as condições dos seguintes agentes: a) que o consumidor exija um retorno do investimento em 2,5 anos; b) que a CE queira um retorno do investimento em 10 anos e c) que o governo queira um retorno do investimento em 20 anos. Suponha uma vida útil de 20 anos para o compressor, seu custo de $100,00 e que esse investimento proporcione um benefício de $230,00 ao final do período desejado por cada agente. Despreze o valor residual e os custos anuais de operação e manutenção.</t>
  </si>
  <si>
    <r>
      <t>VF = VP (1+i)</t>
    </r>
    <r>
      <rPr>
        <b/>
        <vertAlign val="superscript"/>
        <sz val="11"/>
        <rFont val="Calibri"/>
        <family val="2"/>
        <scheme val="minor"/>
      </rPr>
      <t>N</t>
    </r>
  </si>
  <si>
    <t>CET em 5 anos</t>
  </si>
  <si>
    <r>
      <t xml:space="preserve">C </t>
    </r>
    <r>
      <rPr>
        <vertAlign val="subscript"/>
        <sz val="11"/>
        <rFont val="Calibri"/>
        <family val="2"/>
        <scheme val="minor"/>
      </rPr>
      <t>evitado</t>
    </r>
    <r>
      <rPr>
        <sz val="11"/>
        <rFont val="Calibri"/>
        <scheme val="minor"/>
      </rPr>
      <t xml:space="preserve"> =</t>
    </r>
  </si>
  <si>
    <r>
      <t>C</t>
    </r>
    <r>
      <rPr>
        <vertAlign val="subscript"/>
        <sz val="11"/>
        <rFont val="Calibri"/>
        <family val="2"/>
        <scheme val="minor"/>
      </rPr>
      <t>programa</t>
    </r>
    <r>
      <rPr>
        <sz val="11"/>
        <rFont val="Calibri"/>
        <scheme val="minor"/>
      </rPr>
      <t xml:space="preserve"> =</t>
    </r>
  </si>
  <si>
    <r>
      <t xml:space="preserve">Econ. </t>
    </r>
    <r>
      <rPr>
        <vertAlign val="subscript"/>
        <sz val="11"/>
        <rFont val="Calibri"/>
        <family val="2"/>
        <scheme val="minor"/>
      </rPr>
      <t>Líq.</t>
    </r>
    <r>
      <rPr>
        <sz val="11"/>
        <rFont val="Calibri"/>
        <scheme val="minor"/>
      </rPr>
      <t xml:space="preserve"> =</t>
    </r>
  </si>
  <si>
    <r>
      <t xml:space="preserve">C </t>
    </r>
    <r>
      <rPr>
        <vertAlign val="subscript"/>
        <sz val="11"/>
        <rFont val="Calibri"/>
        <family val="2"/>
        <scheme val="minor"/>
      </rPr>
      <t>social</t>
    </r>
    <r>
      <rPr>
        <sz val="11"/>
        <rFont val="Calibri"/>
        <scheme val="minor"/>
      </rPr>
      <t xml:space="preserve"> =</t>
    </r>
  </si>
  <si>
    <r>
      <t xml:space="preserve">B </t>
    </r>
    <r>
      <rPr>
        <vertAlign val="subscript"/>
        <sz val="11"/>
        <rFont val="Calibri"/>
        <family val="2"/>
        <scheme val="minor"/>
      </rPr>
      <t>social</t>
    </r>
    <r>
      <rPr>
        <sz val="11"/>
        <rFont val="Calibri"/>
        <scheme val="minor"/>
      </rPr>
      <t xml:space="preserve"> =</t>
    </r>
  </si>
  <si>
    <r>
      <t>VPL</t>
    </r>
    <r>
      <rPr>
        <vertAlign val="subscript"/>
        <sz val="11"/>
        <rFont val="Calibri"/>
        <family val="2"/>
        <scheme val="minor"/>
      </rPr>
      <t>chuveiro</t>
    </r>
  </si>
  <si>
    <r>
      <t>VPL</t>
    </r>
    <r>
      <rPr>
        <vertAlign val="subscript"/>
        <sz val="11"/>
        <rFont val="Calibri"/>
        <family val="2"/>
        <scheme val="minor"/>
      </rPr>
      <t>pré-aquec.</t>
    </r>
  </si>
  <si>
    <r>
      <t>VPL</t>
    </r>
    <r>
      <rPr>
        <vertAlign val="subscript"/>
        <sz val="10"/>
        <rFont val="Calibri"/>
        <scheme val="minor"/>
      </rPr>
      <t>CE</t>
    </r>
    <r>
      <rPr>
        <sz val="10"/>
        <rFont val="Calibri"/>
        <scheme val="minor"/>
      </rPr>
      <t xml:space="preserve"> (12%)</t>
    </r>
  </si>
  <si>
    <r>
      <t>VPL</t>
    </r>
    <r>
      <rPr>
        <vertAlign val="subscript"/>
        <sz val="10"/>
        <rFont val="Calibri"/>
        <scheme val="minor"/>
      </rPr>
      <t>Cons.</t>
    </r>
    <r>
      <rPr>
        <sz val="10"/>
        <rFont val="Calibri"/>
        <scheme val="minor"/>
      </rPr>
      <t xml:space="preserve"> (25%)</t>
    </r>
  </si>
  <si>
    <t>Custo CE (lâmpada não eficiente em $/kWh)</t>
  </si>
  <si>
    <t>Consumo lâmpada não eficiente (kWh/ano)</t>
  </si>
  <si>
    <t>Custo para a companhia</t>
  </si>
  <si>
    <t>A – Custo fixo total do programa</t>
  </si>
  <si>
    <t>B – Custo variável total do programa</t>
  </si>
  <si>
    <t>Consumo lâmpada não eficiente</t>
  </si>
  <si>
    <t>Custo do programa para CE</t>
  </si>
  <si>
    <t xml:space="preserve">Custo da lâmpada não eficiente para CE </t>
  </si>
  <si>
    <t xml:space="preserve">Custo da lâmpada eficiente para CE </t>
  </si>
  <si>
    <r>
      <t xml:space="preserve">C </t>
    </r>
    <r>
      <rPr>
        <vertAlign val="subscript"/>
        <sz val="11"/>
        <rFont val="Calibri"/>
        <family val="2"/>
        <scheme val="minor"/>
      </rPr>
      <t>comb</t>
    </r>
    <r>
      <rPr>
        <sz val="11"/>
        <rFont val="Calibri"/>
        <scheme val="minor"/>
      </rPr>
      <t xml:space="preserve"> =</t>
    </r>
  </si>
  <si>
    <r>
      <t>CMO</t>
    </r>
    <r>
      <rPr>
        <vertAlign val="subscript"/>
        <sz val="11"/>
        <rFont val="Calibri"/>
        <family val="2"/>
        <scheme val="minor"/>
      </rPr>
      <t>ex-ante</t>
    </r>
    <r>
      <rPr>
        <sz val="11"/>
        <rFont val="Calibri"/>
        <scheme val="minor"/>
      </rPr>
      <t xml:space="preserve"> =</t>
    </r>
  </si>
  <si>
    <t>VPL =</t>
  </si>
  <si>
    <t>EXEMPLO 4.6 – Qual é a quantidade de energia elétrica anual produzida por uma usina geotérmica de 20 MW com um fator de capacidade de 0,80 e por uma turbina de combustão (TC) de 50 MW com um fator de capacidade de 0,30? Considerando a plena carga e a operação com ausência de contingências ou de manutenção programada durante o ano.</t>
  </si>
  <si>
    <r>
      <t>F</t>
    </r>
    <r>
      <rPr>
        <vertAlign val="subscript"/>
        <sz val="11"/>
        <rFont val="Calibri"/>
        <family val="2"/>
        <scheme val="minor"/>
      </rPr>
      <t>cap</t>
    </r>
  </si>
  <si>
    <r>
      <t>CM</t>
    </r>
    <r>
      <rPr>
        <b/>
        <vertAlign val="subscript"/>
        <sz val="11"/>
        <rFont val="Calibri"/>
        <family val="2"/>
        <scheme val="minor"/>
      </rPr>
      <t>kWh</t>
    </r>
  </si>
  <si>
    <r>
      <t>CM</t>
    </r>
    <r>
      <rPr>
        <b/>
        <vertAlign val="subscript"/>
        <sz val="11"/>
        <rFont val="Calibri"/>
        <family val="2"/>
        <scheme val="minor"/>
      </rPr>
      <t>kW</t>
    </r>
  </si>
  <si>
    <r>
      <t>CM</t>
    </r>
    <r>
      <rPr>
        <vertAlign val="subscript"/>
        <sz val="11"/>
        <rFont val="Calibri"/>
        <family val="2"/>
        <scheme val="minor"/>
      </rPr>
      <t>kWh</t>
    </r>
    <r>
      <rPr>
        <sz val="11"/>
        <rFont val="Calibri"/>
        <scheme val="minor"/>
      </rPr>
      <t xml:space="preserve"> =</t>
    </r>
  </si>
  <si>
    <t xml:space="preserve">E.E. Consumida = </t>
  </si>
  <si>
    <t>MWh/dia</t>
  </si>
  <si>
    <t>$/mês</t>
  </si>
  <si>
    <t>Gasto total com salários por mês</t>
  </si>
  <si>
    <r>
      <t>FC</t>
    </r>
    <r>
      <rPr>
        <vertAlign val="subscript"/>
        <sz val="11"/>
        <rFont val="Calibri"/>
        <family val="2"/>
        <scheme val="minor"/>
      </rPr>
      <t>fp</t>
    </r>
    <r>
      <rPr>
        <sz val="11"/>
        <rFont val="Calibri"/>
        <scheme val="minor"/>
      </rPr>
      <t xml:space="preserve"> =</t>
    </r>
  </si>
  <si>
    <r>
      <t>D</t>
    </r>
    <r>
      <rPr>
        <vertAlign val="subscript"/>
        <sz val="11"/>
        <rFont val="Calibri"/>
        <family val="2"/>
        <scheme val="minor"/>
      </rPr>
      <t>p</t>
    </r>
    <r>
      <rPr>
        <sz val="11"/>
        <rFont val="Calibri"/>
        <scheme val="minor"/>
      </rPr>
      <t xml:space="preserve"> =</t>
    </r>
  </si>
  <si>
    <r>
      <t>h</t>
    </r>
    <r>
      <rPr>
        <vertAlign val="subscript"/>
        <sz val="11"/>
        <rFont val="Calibri"/>
        <family val="2"/>
        <scheme val="minor"/>
      </rPr>
      <t>p</t>
    </r>
    <r>
      <rPr>
        <sz val="11"/>
        <rFont val="Calibri"/>
        <scheme val="minor"/>
      </rPr>
      <t xml:space="preserve"> =</t>
    </r>
  </si>
  <si>
    <r>
      <t>FC</t>
    </r>
    <r>
      <rPr>
        <vertAlign val="subscript"/>
        <sz val="11"/>
        <rFont val="Calibri"/>
        <family val="2"/>
        <scheme val="minor"/>
      </rPr>
      <t>p</t>
    </r>
    <r>
      <rPr>
        <sz val="11"/>
        <rFont val="Calibri"/>
        <scheme val="minor"/>
      </rPr>
      <t xml:space="preserve"> =</t>
    </r>
  </si>
  <si>
    <r>
      <t>D</t>
    </r>
    <r>
      <rPr>
        <vertAlign val="subscript"/>
        <sz val="11"/>
        <rFont val="Calibri"/>
        <family val="2"/>
        <scheme val="minor"/>
      </rPr>
      <t>fp</t>
    </r>
    <r>
      <rPr>
        <sz val="11"/>
        <rFont val="Calibri"/>
        <scheme val="minor"/>
      </rPr>
      <t xml:space="preserve"> =</t>
    </r>
  </si>
  <si>
    <r>
      <t>h</t>
    </r>
    <r>
      <rPr>
        <vertAlign val="subscript"/>
        <sz val="11"/>
        <rFont val="Calibri"/>
        <family val="2"/>
        <scheme val="minor"/>
      </rPr>
      <t>fp</t>
    </r>
    <r>
      <rPr>
        <sz val="11"/>
        <rFont val="Calibri"/>
        <scheme val="minor"/>
      </rPr>
      <t xml:space="preserve"> =</t>
    </r>
  </si>
  <si>
    <r>
      <t>Portanto, calculamos primeiro o F</t>
    </r>
    <r>
      <rPr>
        <vertAlign val="subscript"/>
        <sz val="11"/>
        <rFont val="Calibri"/>
        <family val="2"/>
        <scheme val="minor"/>
      </rPr>
      <t>d (pico)</t>
    </r>
    <r>
      <rPr>
        <sz val="11"/>
        <rFont val="Calibri"/>
        <scheme val="minor"/>
      </rPr>
      <t xml:space="preserve"> através de:</t>
    </r>
  </si>
  <si>
    <r>
      <t xml:space="preserve"> F</t>
    </r>
    <r>
      <rPr>
        <vertAlign val="subscript"/>
        <sz val="11"/>
        <rFont val="Calibri"/>
        <family val="2"/>
        <scheme val="minor"/>
      </rPr>
      <t xml:space="preserve">d (pico) </t>
    </r>
    <r>
      <rPr>
        <sz val="11"/>
        <rFont val="Calibri"/>
        <scheme val="minor"/>
      </rPr>
      <t>=</t>
    </r>
  </si>
  <si>
    <r>
      <t>R</t>
    </r>
    <r>
      <rPr>
        <vertAlign val="subscript"/>
        <sz val="11"/>
        <rFont val="Calibri"/>
        <family val="2"/>
        <scheme val="minor"/>
      </rPr>
      <t>f</t>
    </r>
    <r>
      <rPr>
        <sz val="11"/>
        <rFont val="Calibri"/>
        <scheme val="minor"/>
      </rPr>
      <t>/Z =</t>
    </r>
  </si>
  <si>
    <r>
      <t>P</t>
    </r>
    <r>
      <rPr>
        <vertAlign val="subscript"/>
        <sz val="11"/>
        <rFont val="Calibri"/>
        <family val="2"/>
        <scheme val="minor"/>
      </rPr>
      <t>d (pico)</t>
    </r>
    <r>
      <rPr>
        <sz val="11"/>
        <rFont val="Calibri"/>
        <scheme val="minor"/>
      </rPr>
      <t xml:space="preserve"> =</t>
    </r>
  </si>
  <si>
    <r>
      <t>P</t>
    </r>
    <r>
      <rPr>
        <vertAlign val="subscript"/>
        <sz val="11"/>
        <rFont val="Calibri"/>
        <family val="2"/>
        <scheme val="minor"/>
      </rPr>
      <t>tl</t>
    </r>
    <r>
      <rPr>
        <sz val="11"/>
        <rFont val="Calibri"/>
        <scheme val="minor"/>
      </rPr>
      <t xml:space="preserve">/P </t>
    </r>
    <r>
      <rPr>
        <vertAlign val="subscript"/>
        <sz val="11"/>
        <rFont val="Calibri"/>
        <family val="2"/>
        <scheme val="minor"/>
      </rPr>
      <t>pico</t>
    </r>
    <r>
      <rPr>
        <sz val="11"/>
        <rFont val="Calibri"/>
        <scheme val="minor"/>
      </rPr>
      <t xml:space="preserve"> =</t>
    </r>
  </si>
  <si>
    <r>
      <t>F</t>
    </r>
    <r>
      <rPr>
        <vertAlign val="subscript"/>
        <sz val="11"/>
        <rFont val="Calibri"/>
        <family val="2"/>
        <scheme val="minor"/>
      </rPr>
      <t>tl</t>
    </r>
    <r>
      <rPr>
        <sz val="11"/>
        <rFont val="Calibri"/>
        <scheme val="minor"/>
      </rPr>
      <t xml:space="preserve"> . FC =</t>
    </r>
  </si>
  <si>
    <r>
      <t>$/t NO</t>
    </r>
    <r>
      <rPr>
        <vertAlign val="subscript"/>
        <sz val="11"/>
        <rFont val="Calibri"/>
        <family val="2"/>
        <scheme val="minor"/>
      </rPr>
      <t>x</t>
    </r>
  </si>
  <si>
    <t>evitado ($/t)</t>
  </si>
  <si>
    <t>–1160</t>
  </si>
  <si>
    <t>–17610</t>
  </si>
  <si>
    <t>–1268</t>
  </si>
  <si>
    <t>–3208</t>
  </si>
  <si>
    <t>–14566</t>
  </si>
  <si>
    <t>–5479</t>
  </si>
  <si>
    <t>–5058</t>
  </si>
  <si>
    <t>–492</t>
  </si>
  <si>
    <t>–2529</t>
  </si>
  <si>
    <t>–224</t>
  </si>
  <si>
    <t>–2077</t>
  </si>
  <si>
    <t>–55662</t>
  </si>
  <si>
    <t>Conclusão: Um BTU proveniente do petróleo é mais de sete vezes maior, em valor monetário, do que um BTU proveniente do carvão.</t>
  </si>
  <si>
    <t>Usando informações do Apêndice A</t>
  </si>
  <si>
    <t>Energia Necessária</t>
  </si>
  <si>
    <t>Para os demais combustíveis:</t>
  </si>
  <si>
    <t>Energia Total GJ</t>
  </si>
  <si>
    <r>
      <t>CO</t>
    </r>
    <r>
      <rPr>
        <vertAlign val="subscript"/>
        <sz val="11"/>
        <rFont val="Calibri"/>
        <family val="2"/>
      </rPr>
      <t>2</t>
    </r>
    <r>
      <rPr>
        <sz val="11"/>
        <rFont val="Calibri"/>
      </rPr>
      <t xml:space="preserve"> =</t>
    </r>
  </si>
  <si>
    <t>O combustível com menor fator de emissão de C é o gás natural. Outro fator determinante para avaliar as emissões de C de cada combustível é a eficiência de conversão do combustível. O óleo diesel por GJ possui baixo fator de emissão, porém, devido a normalmente apresentar baixa eficiência em conversão, as emissões totais serão elevadas.</t>
  </si>
  <si>
    <t>Possíveis substituições:</t>
  </si>
  <si>
    <t>Lúmens/Watt</t>
  </si>
  <si>
    <t>% dif. Lúmens</t>
  </si>
  <si>
    <t>Lembrar que a NBR 5410 e a NBR 5413 definem o nível mínimo de iluminamento, contudo, deve-se atentar para a qualidade da energia elétrica devido à instalação de equipamentos que provoquem a distorção harmônica das grandezas elétricas.</t>
  </si>
  <si>
    <t>O PIR é uma metodologia de planejamento energético para o atendimento das necessidades energéticas, estabelecendo planos de ação compostos pela integração de opções pelo lado da oferta (GLO), pelo lado da demanda (GLD) e pela resposta à demanda (DR), com o objetivo de custo mínimo, incluindo os custos socioambientais. O PIR é um processo de planejamento participativo que tem a finalidade de analisar e avaliar todas as opções factíveis no horizonte de tempo e no espaço, indicando planos de ação eficientes, eficazes e efetivos. Por eficiente, entende-se planos de ação com o custo social mínimo, ou seja, incluindo os custos financeiros, econômicos, ambientais e sociais. Por eficaz, entende-se planos de ação com o benefício social máximo, ou seja, incluindo os benefícios financeiros, econômicos, ambientais e sociais. Por efetivo, entende-se planos de ação legítimos e construídos socialmente para atender aos objetivos elencados de forma duradoura, além do horizonte de planejamento.</t>
  </si>
  <si>
    <r>
      <t>A energia é crucial para o funcionamento das sociedades modernas e para o desenvolvimento e o crescimento socioeconômico. Porém, para nações em fase inicial ou intermediária de desenvolvimento, a energia ganha ênfase, visto que a continuidade desse desenvolvimento depende fortemente da oferta de energia para formação e fortalecimento da infraestrutura econômica local. Apesar de o aumento da disponibilidade de energia não significar o aumento do IDH para países desenvolvidos, a garantia de acesso à eletricidade com segurança e qualidade, em países em desenvolvimento, pode significar um grande salto no desenvolvimento social. A questão-chave para o papel da energia de agora até o futuro é como garantir o acesso à energia a todos e, ainda assim, garantir a redução de emissões de carbono na atmosfera, controlando a concentração de CO</t>
    </r>
    <r>
      <rPr>
        <vertAlign val="subscript"/>
        <sz val="11"/>
        <rFont val="Calibri"/>
        <family val="2"/>
      </rPr>
      <t>2</t>
    </r>
    <r>
      <rPr>
        <sz val="11"/>
        <rFont val="Calibri"/>
        <family val="2"/>
      </rPr>
      <t xml:space="preserve"> equivalente na atmosfera e mitigando os impactos no clima, além de assegurar a reprodutibilidade dos estoques de capital natural. Nessa questão, países desenvolvidos já iniciaram medidas para a redução contínua de emissões e o desenvolvimento de novas tecnologias, como o CCS, porém a discussão fica maior quando é necessário garantir energia a países pobres e menos desenvolvidos, que dela necessitam para serviços básicos, e sem recursos financeiros para investir em tecnologias mais modernas e caras para atender às suas necessidades.</t>
    </r>
  </si>
  <si>
    <r>
      <t xml:space="preserve">
A refrigeração doméstica é suprida pela energia elétrica. O fluxo passa pela geração, predominantemente hidrotérmica no Brasil, transmissão e distribuição, além do uso final para a própria refrigeração. A energia elétrica pode ser gerada de diversas maneiras, mais eficientes com hidrelétricas ou menos eficientes, como a geração em termoelétricas sem tecnologias agregadas para aumento da eficiência. No uso final, a conversão da energia elétrica em trabalho pode ser realizada em diversos equipamentos de mercado com eficiências variando entre eles.
Para o aquecimento de água na indústria, diversos combustíveis podem ser usados em trocadores de calor - óleo, gás e biomassa são os mais comuns. Os trocadores de calor podem apresentar boa eficiência energética para aquecimento da água.
No transporte público de passageiros, a conversão pode ser feita por meio da energia elétrica, que seria a tecnologia mais eficiente, ou da maneira mais comum, por meio de combustíveis tradicionais como o diesel, com eficiência menor e grandes emissões de CO</t>
    </r>
    <r>
      <rPr>
        <vertAlign val="subscript"/>
        <sz val="11"/>
        <rFont val="Calibri"/>
        <family val="2"/>
      </rPr>
      <t>2.</t>
    </r>
    <r>
      <rPr>
        <sz val="11"/>
        <rFont val="Calibri"/>
        <family val="2"/>
      </rPr>
      <t xml:space="preserve">
No transporte privado de passageiros, podemos empregar também a energia elétrica em veículos, sendo esta a maneira mais eficiente.
Quando tratamos de veículos elétricos, é necessário conhecer a origem da eletricidade, ou seja, se a mesma é produzida, transmitida e distribuída de forma eficiente.</t>
    </r>
  </si>
  <si>
    <t>Uso final</t>
  </si>
  <si>
    <t>Ar-condicionado</t>
  </si>
  <si>
    <t>Total de equipamentos final 1989:</t>
  </si>
  <si>
    <t>Vida do Ar-condicionado</t>
  </si>
  <si>
    <r>
      <t>kg CO</t>
    </r>
    <r>
      <rPr>
        <b/>
        <vertAlign val="subscript"/>
        <sz val="11"/>
        <rFont val="Calibri"/>
        <family val="2"/>
      </rPr>
      <t>2</t>
    </r>
    <r>
      <rPr>
        <b/>
        <sz val="11"/>
        <rFont val="Calibri"/>
        <family val="2"/>
      </rPr>
      <t>/kg</t>
    </r>
  </si>
  <si>
    <r>
      <t>kg CO</t>
    </r>
    <r>
      <rPr>
        <b/>
        <vertAlign val="subscript"/>
        <sz val="11"/>
        <rFont val="Calibri"/>
        <family val="2"/>
      </rPr>
      <t>2</t>
    </r>
    <r>
      <rPr>
        <b/>
        <sz val="11"/>
        <rFont val="Calibri"/>
        <family val="2"/>
      </rPr>
      <t>/GJ</t>
    </r>
  </si>
  <si>
    <r>
      <t>kg CO</t>
    </r>
    <r>
      <rPr>
        <b/>
        <vertAlign val="subscript"/>
        <sz val="11"/>
        <rFont val="Calibri"/>
        <family val="2"/>
      </rPr>
      <t>2</t>
    </r>
  </si>
  <si>
    <t>Fonte: Gadgil et al. (1999)</t>
  </si>
  <si>
    <r>
      <t xml:space="preserve">Tabela 2-2 </t>
    </r>
    <r>
      <rPr>
        <sz val="11"/>
        <rFont val="Calibri"/>
        <scheme val="minor"/>
      </rPr>
      <t>– Penetração de tecnologias de uso final no setor residencial (%)</t>
    </r>
  </si>
  <si>
    <r>
      <t xml:space="preserve">Consumo anual de energia elétrica por cidade </t>
    </r>
    <r>
      <rPr>
        <b/>
        <sz val="12"/>
        <rFont val="Calibri"/>
        <family val="2"/>
        <scheme val="minor"/>
      </rPr>
      <t>(GWh)</t>
    </r>
  </si>
  <si>
    <t>Dentre as possíveis fontes de erro estão, por exemplo: (i) o cálculo e a metodologia para obtenção do percentual de penetração; (ii) o cálculo e a metodologia para obtenção da demanda média por residência dos equipamentos elencados; (iii) o fato de não considerar os modos de consumo do serviço energético correlato ao equipamento elencado; e (iv) a ausência de agregação energética nos cálculos dos recursos naturais imbricados no funcionamento de determinados equipamentos, tais como o recurso hídrico no uso do chuveiro e na máquina de lavar roupa. Os usos finais mais relevantes sob o aspecto energético e de uso dos recursos naturais seriam o refrigerador e o ar-condicionado. Constata-se um modo de consumo intenso da carga térmica muito provavelmente pelas condições climáticas e da geografia dos municípios envolvidos.</t>
  </si>
  <si>
    <t>Brasil</t>
  </si>
  <si>
    <t>Força motriz</t>
  </si>
  <si>
    <t>Tabela 2-9 – A estrutura de consumo de eletricidade segundo usos finais em alguns países (1993)</t>
  </si>
  <si>
    <t>EXERCÍCIO 2.3 – A estrutura de uso final de eletricidade pode variar significativamente entre países ou regiões. A Tabela 2-9 a seguir ilustra o consumo de eletricidade do setor industrial e os usos finais de alguns países para o ano de 1993.</t>
  </si>
  <si>
    <t>Se você necessitasse fazer um único programa de eficiência de energia para o setor industrial dos países listados na Tabela 2-9, com quais usos finais você trabalharia? Por quê?</t>
  </si>
  <si>
    <t>Análise para o consumidor</t>
  </si>
  <si>
    <t>Preço Energia</t>
  </si>
  <si>
    <t>Considerando a taxa de 60% do consumidor e o retorno em 25 anos (VPL), ele terá um ganho proporcionado pela economia inferior ao acrescimento de custo dos refrigeradores. Portanto, o negócio não é recomendado, acarretanto, no caso de aquisição do refrigerador pelo consumidor, um prejuízo de 53,75 reais ao valor presente. O negócio seria atrativo para taxas de desconto (TMA) inferiores a 19,4% a.a.</t>
  </si>
  <si>
    <t>Análise para a companhia de energia</t>
  </si>
  <si>
    <t>Valor</t>
  </si>
  <si>
    <t>EXEMPLO 1.1 – Tomando como base a cotação do carvão e do petróleo WTI do dia 20/04/2011 na Bolsa de Nova York (U$77,33/ton. e U$111,66/bbl respectivamente), calcule a relação U$ BTUcarvão/U$ BTUpetróleo. Mais exatamente: quanto vale 1 BTU de petróleo em relação à mesma energia oriunda do carvão?</t>
  </si>
  <si>
    <t>EXEMPLO 1.2 – Admita que um gerador de vapor que opere com eficiência de 75% usando óleo combustível consome 65 kg do combustível por hora a um custo de 81,50 U$/BEP. Calcule a energia necessária e o custo para gerar a mesma quantidade de vapor para as diferentes possibilidades de combustível e de tecnologia a seguir:
Óleo diesel com gerador de vapor de 85% de eficiência (190,60 U$/BEP);
Gás natural com gerador de vapor de 90% de eficiência (74,20 U$/BEP);
Lenha com gerador de vapor de 35% de eficiência (10,80 U$/BEP);
Carvão com gerador de vapor de 55% de eficiência (47,60 U$/BEP).
Utilizando-se dos dados listados no Apêndice A, qual é o sistema mais eficiente do ponto de vista energético e econômico?</t>
  </si>
  <si>
    <t>EXEMPLO 1.3 – A partir da Tabela 1-6, calcule os fatores de emissão de gás carbono e de carbono dos cinco sistemas: óleo combustível, óleo diesel, gás natural, lenha e carvão vegetal. Discuta os resultados indicando os que possuem menores contribuições para o aumento de emissões de carbono.</t>
  </si>
  <si>
    <t xml:space="preserve">EXEMPLO 1.4 – Considere a Tabela 1-7 a seguir:
</t>
  </si>
  <si>
    <t>Tabela 1-7 – Tecnologias de iluminação e suas eficiências em termos de lúmens (Watt)</t>
  </si>
  <si>
    <t>Supondo que você queira substituir as tecnologias ineficientes, encontre casos (substituições) nos quais é possível utilizar outra tecnologia que mantenha tão próximo quanto possível o mesmo nível de serviço de energia – iluminação – e que represente uma redução na conta mensal. Considere três horas de uso diário.</t>
  </si>
  <si>
    <t>Exercícios finais do capítulo</t>
  </si>
  <si>
    <t xml:space="preserve">1) O que é PIR?
</t>
  </si>
  <si>
    <t xml:space="preserve">2) Discuta com suas palavras e dê exemplos para explicar as diferentes maneiras de se entender o papel da energia na sociedade atual.
</t>
  </si>
  <si>
    <t>3) Descreva o fluxo de conversões energéticas desde as fontes primárias até os serviços de energia especificados: refrigeração doméstica, aquecimento de água industrial e transporte de passageiros (público e privado). Apresente o máximo de rotas de conversão possíveis e aponte quais podem ser as mais eficientes (com menores perdas de conversão).</t>
  </si>
  <si>
    <t>Fonte: Coppe/UFRJ e Eletrobras (1991)</t>
  </si>
  <si>
    <t>Fonte: Sathaye and Tyler (1991)</t>
  </si>
  <si>
    <r>
      <t>EXERCÍCIO 2.1 – A Tabela 2-7 a seguir mostra as vendas de dois eletrodomésticos de 1985 a 1989 no Brasil. Estime o consumo de energia ao final do ano de 1989, a partir dos dados de vendas, admitindo as seguintes informações técnicas: vida do refrigerador = 35.000 horas; vida do ar-condicionado = 7.200 horas; potência média do refrigerador = 210 W; potência média do ar-condicionado = 1.415 W. Considere que o ar-condicionado seja utilizado 1.200 horas/ano e o refrigerador 3.500 horas/ano e que no início do ano de 1985 os estoques (aparelhos que estão em funcionamento) de refrigeradores e aparelhos de ar condicionado eram respectivamente de 22×10</t>
    </r>
    <r>
      <rPr>
        <b/>
        <vertAlign val="superscript"/>
        <sz val="11"/>
        <rFont val="Calibri"/>
        <family val="2"/>
        <scheme val="minor"/>
      </rPr>
      <t>6</t>
    </r>
    <r>
      <rPr>
        <b/>
        <sz val="11"/>
        <rFont val="Calibri"/>
        <family val="2"/>
        <scheme val="minor"/>
      </rPr>
      <t xml:space="preserve"> e 1×10</t>
    </r>
    <r>
      <rPr>
        <b/>
        <vertAlign val="superscript"/>
        <sz val="11"/>
        <rFont val="Calibri"/>
        <family val="2"/>
        <scheme val="minor"/>
      </rPr>
      <t>6</t>
    </r>
    <r>
      <rPr>
        <b/>
        <sz val="11"/>
        <rFont val="Calibri"/>
        <family val="2"/>
        <scheme val="minor"/>
      </rPr>
      <t xml:space="preserve"> unidades. Considere as seguintes hipóteses:
•	Das vendas anuais dos aparelhos de ar, 80% são substituições e 20% são novas instalações;
•	Das vendas anuais dos refrigeradores, 90% são substituições e 10% são novas instalações.</t>
    </r>
  </si>
  <si>
    <r>
      <t>Tabela 2-8 – Consumo</t>
    </r>
    <r>
      <rPr>
        <sz val="11"/>
        <rFont val="Calibri"/>
      </rPr>
      <t xml:space="preserve"> anual por aparelho e por residência</t>
    </r>
    <r>
      <rPr>
        <sz val="11"/>
        <rFont val="Calibri"/>
        <family val="2"/>
      </rPr>
      <t xml:space="preserve"> em Manaus</t>
    </r>
  </si>
  <si>
    <t>Fonte: Valdes-Arrieta (1993), Dutt and Tanides (1994)</t>
  </si>
  <si>
    <t>(supondo que as lâmpadas durem 5 anos)</t>
  </si>
  <si>
    <t>2 lâmpadas + reator</t>
  </si>
  <si>
    <t>Lúmens</t>
  </si>
  <si>
    <t>Lúmens/W</t>
  </si>
  <si>
    <t>Análise para o consumidor industrial</t>
  </si>
  <si>
    <t>Análise para a companhia</t>
  </si>
  <si>
    <t>Tabela 2-10 – Planos de crescimento de Brakimpur</t>
  </si>
  <si>
    <t>Respostas abaixo com base na reprodução das tabelas da planilha BRAKCH4.xls e do livro.</t>
  </si>
  <si>
    <t>Quais os usos finais com maior consumo de GWh e com menor consumo?</t>
  </si>
  <si>
    <t>Quais usos finais seriam interessantes para fazer um plano de conservação?</t>
  </si>
  <si>
    <t xml:space="preserve">Recalcule a Tabela 2-15 mantendo a mesma distribuição de renda do ano de referência e explique o que acontece. </t>
  </si>
  <si>
    <t>Tabela 2-15 – Consumo de energia – ano projetado E(X+10)=N(X+10)×P×M×I (GWh/Ano)</t>
  </si>
  <si>
    <t>Reproduzindo a Tabela 2-15 com a distribuição de renda do ano X+10:</t>
  </si>
  <si>
    <r>
      <t>Tabela 2-7 –</t>
    </r>
    <r>
      <rPr>
        <sz val="11"/>
        <rFont val="Calibri"/>
      </rPr>
      <t xml:space="preserve"> Vendas de equipamentos no Brasil (×1.000)</t>
    </r>
  </si>
  <si>
    <t>EXERCÍCIO 2.2 – Supondo os valores de consumo anual por aparelhos listados na Tabela 2-8, estime o uso de eletricidade anual para a iluminação, a TV, o uso de refrigerador, o chuveiro, o ar-condicionado e a máquina de lavar para as cidades listadas na Tabela 2-2. Compare a estrutura de consumo dessas cidades e discuta as possíveis fontes de erro nesse procedimento. Quais os usos finais mais importantes?</t>
  </si>
  <si>
    <t>EXERCÍCIO 2.4 – Um consumidor residencial tem duas opções para comprar refrigeradores: um que custa $800 e consome 600 kWh/ano durante uma vida útil de 25 anos; ou outro refrigerador que custa 10% mais caro e consome 425 kWh/ano, também com vida útil de 25 anos. A compra do segundo refrigerador é economicamente atrativa para o consumidor residencial? Se a companhia subsidiar em 100% a compra do segundo refrigerador ela perde dinheiro? Suponha que a companhia usa uma taxa de desconto de 12% e o consumidor de 60% ao ano, que sua tarifa é de 0,09 $/kWh e o custo marginal da CE é 0,15 $/kWh.</t>
  </si>
  <si>
    <t>Do EXEMPLO 1.4:</t>
  </si>
  <si>
    <t>Considere uma mudança na distribuição de renda, na penetração dos aparelhos e no consumo de acordo com a realidade de sua região. Faça hipóteses, descreva-as e faça as mudanças necessárias na planilha de cálculo. Você pode consultar o IBGE, a FGV, o IPEA, os Balanços Estaduais de Energia e o Balanço Energético Nacional.</t>
  </si>
  <si>
    <t>Tabela 2-17 – Setor comercial de Brakimpur – hipóteses para projeção</t>
  </si>
  <si>
    <t>Tabela 2-16 – Setor comercial de Brakimpur – consumo do ano de referência (MWh)</t>
  </si>
  <si>
    <t>Subsetor/usos finais</t>
  </si>
  <si>
    <t>Observando os resultados que você projetou, quais são os subsetores comerciais com maior consumo de MWh? Quais são os subsetores comerciais com menor consumo?</t>
  </si>
  <si>
    <t>Quais usos finais são interessantes para um plano de conservação? Discuta algumas razões que poderiam explicar as diferenças observadas.</t>
  </si>
  <si>
    <t>Quais tipos de motores são interessantes, economicamente, para um plano de conservação de energia? Por quê?</t>
  </si>
  <si>
    <t>Considere uma substituição de motores, considerando que 10% dos motores de 40 a 100 kW estão sobredimensionados e poderiam ser substituídos por motores de 10 a 40 kW. Qual o efeito sobre o consumo de energia para cada subsetor industrial?</t>
  </si>
  <si>
    <t>Tabela 2-18 – Consumo projetado por subsetor industrial E(X)=PIB(X)×M×I</t>
  </si>
  <si>
    <t>Tabela 2-20 – Distribuição (D=%) e consumo por tipo de motor (CV) por subsetor – E(X)×C×D em GWh/Ano</t>
  </si>
  <si>
    <t>Tabela 2-21 – Uso do motor (M em Horas/Ano) e intensidade (I em kW/Motor)</t>
  </si>
  <si>
    <t>Tabela 2-22 – Número de motores por tipo por subsetor (N)(milhões)</t>
  </si>
  <si>
    <t>Tabela 2-23 – Consumo: ano de referência, E(X)=N×I×M e ano projetado, E(X+10)=N(X+10)×I×M (GWh)</t>
  </si>
  <si>
    <t>Número de motores substituídos por tipo por subsetor (N)(milhões)</t>
  </si>
  <si>
    <t>EXERCÍCIO 2.7 – Calcule o efeito conteúdo ECi(tk), o efeito estrutura ESi(tk) e o efeito atividade EPIB(tk) para os setores da economia brasileira nos anos de 2001 a 2010 com base nos dados da Tabela 2-24 e Eqs. (2.30) a (2.34). Estime o consumo de energia em milhões de TEP/ano do setor de transporte, indústria e setor energético para o ano de 2020, considerando que durante o período de 2011 a 2020 a variação do consumo anual de cada setor é a soma dos valores médios dos três efeitos observados nos dez anos anteriores. Indique esses valores em um gráfico e, para efeito de comparação, os valores que seriam obtidos se a taxa de variação anual do consumo de energia de cada setor durante os anos de 2011 a 2020 se mantivesse igual à taxa média de variação dos dez anos anteriores.</t>
  </si>
  <si>
    <t>Tabela 2-24 – Consumo de recursos energéticos primários e PIB por setor do Brasil – EXERCÍCIO 2.7</t>
  </si>
  <si>
    <t>Tabela 2-26 – Dados do Brasil – EXERCÍCIO 2.8</t>
  </si>
  <si>
    <t>Elabore um gráfico com as estimativas de consumo de petróleo conforme cenários indicados na Tabela 2-27 a seguir, considerando as taxas de variações anuais para o período de 2011 a 2020.</t>
  </si>
  <si>
    <t>Tabela 2-27 – Cenários – EXERCÍCIO 2.8</t>
  </si>
  <si>
    <t>EXERCÍCIO 2.9 – Elabore um modelo econométrico para o consumo de petróleo no Brasil (óleo + gás natural) conforme Eq. (2.49) utilizando-se dos dados da Tabela 2-28 a seguir.</t>
  </si>
  <si>
    <t>Tabela 2-28 – Dados do Balanço Energético Nacional (EPE 2010) e IBGE – EXERCÍCIO 2.9</t>
  </si>
  <si>
    <t>Quanto à confiabilidade, existem muitas questões para que a estimativa se torne confiável, dentre elas se os dados de vendas estão corretos e quanto desses equipamentos realmente são novas instalações. Diversos erros ou imprecisões podem estar presentes, como a estimativa do estoque inicial de aparelhos em funcionamento, do valor médio de potência de cada equipamento, pois pode variar o percentual de equipamentos mais antigos e menos econômicos ou mais novos e econômicos. As vendas devem ser bem estimadas (para isso os fabricantes deveriam informar os números de vendas e os modelos) e a estimativa de novas instalações precisa ser bem realizada. O tempo médio de uso final de cada equipamento também pode variar de acordo com região, clima, classe social e ambiente residencial ou comercial, entre outras imprecisões.</t>
  </si>
  <si>
    <t>O programa de eficiência de energia seria focado na força motriz, por ser a fonte de maior consumo de energia no setor industrial nos países mencionados. O aumento da eficiência de motores, por exemplo, significaria maior economia de energia no setor industrial. Para o Brasil, investir em um programa de aumento de eficiência nos processos de aquecimento direto industrial também poderia ter bons resultados, já que representa quase 1/3 do consumo total no setor industrial. Todavia, sabe-se que programas de eficiência energética para o setor industrial pautados, exclusivamente, em troca de equipamentos não são efetivos, ou seja, duradouros. Os programas de eficiência energética para o setor industrial devem ser pautados em melhoramentos da eficiência processo industrial. Assim, por exemplo, não basta trocar um motor de baixa eficiência por um de maior eficiência em uma esteira transportadora, mas deve-se atentar para as polias, a esteira, propriamente dita, os mancais de sustentação da esteira, a correta especificação da máquina motriz, o sistema de controle de torque e a potência demanda da máquina motriz. Outrossim, é característica dos motores elétricos que o fator de potência e o rendimento varie com a carga do motor.</t>
  </si>
  <si>
    <t>A companhia tem um custo marginal para a produção de energia de 0,15 $/kWh e vende por 0,09 $/kWh. Dessa forma, está perdendo 0,06 $/kWh a cada unidade de energia adicional vendida.</t>
  </si>
  <si>
    <t>Considerando a taxa de 12% da companhia, o investimento de $880 em um refrigerador somente proporcionará $82,35 de retorno. Assim, financiar 100% do refrigerador não será negócio, porém seria possível financiar a diferença de $80 na compra do refrigerador mais caro, dessa forma seria vantagem para a companhia. Portanto, mantendo a TMA em 12% a.a., caso a CE financie 100% do refrigerador terá um prejuízo de R$ 797,65; caso financie a diferença de R$ 80, terá um excedente de R$ 2,35. Assim, a CE deve financiar, no máximo, 9,36% a fim de ter algum excedente.</t>
  </si>
  <si>
    <t>EXERCÍCIO 2.5 – Um consumidor industrial deve comprar um kit com duas lâmpadas fluorescentes convencionais (40W – considerado na resolução do exercício 2x20W) e um reator eletrônico duplo, com FP de 0,98 e com potência e perda em 5% da potência nominal da lâmpada – presume-se o custo do conjunto luminária (lâmpada: R$ 9,70 e reator: R$ 24,90) em R$ 44,30 – e que tem 1.920 horas de uso anual durante uma vida útil de cinco anos; ou outro kit que tem duas lâmpadas fluorescentes eficientes (32W – considerado como duas lâmpadas de 16W na resolução do exercício) e um reator eletrônico duplo, com FP de 0,98 e com potência e perda em 5% da potência nominal da lâmpada – presume-se o custo do conjunto luminária (lâmpada: R$ 10,90 e reator: R$ 25,90) em R$ 47,70 – e que tem as mesmas 1.920 horas de uso anual também durante uma vida útil de cinco anos. A compra do segundo kit é economicamente atrativa para o consumidor industrial? Se a companhia subsidiar a compra da LFE ela perde dinheiro? O segundo kit mantém o mesmo nível do serviço de energia? Utilize as informações de tarifas e custo marginal do EXERCÍCIO 2.4.</t>
  </si>
  <si>
    <t>Se considerarmos a taxa de retorno de 60%, o retorno em 5 anos é inferior ao investimento adicional realizado no kit mais caro. Há um investimento adicional de $3,40 para um retorno em 5 anos de $2,19, acarretando um prejuízo de R$ 1,21. Caso o consumidor industrial tenha uma TMA inferior a 32% a.a., o investimento passa a valer a pena.</t>
  </si>
  <si>
    <t>Se considerarmos a taxa de retorno de 12% em 5 anos, a companhia terá economizado $3,49, ou seja, valor inferior ao subsídio total do Kit 2. Porém, caso a companhia ofereça o subsídio de R$ 3,40 para a compra do Kit 2, ela terá um retorno líquido de R$ 0,09. Assim, é viável para a companhia subsidiar o Kit 2 integralmente.</t>
  </si>
  <si>
    <t>Considerando as informações do EXEMPLO 1.4:</t>
  </si>
  <si>
    <t>A fluorescente eficiente fornece um serviço de energia melhor em comparação com a fluorescente convencional. Contudo, deve-se atentar para o incremento da taxa de distorção harmônica (TDH) com o uso de reatores eletrônicos.</t>
  </si>
  <si>
    <t>EXERCÍCIO 2.6 – Este exemplo, mais extenso, trata do cenário de eficiência congelada de energia compreendendo as projeções de demanda para Brakimpur. O país Brakimpur tem uma população de 10,5 milhões e uma renda média per capita de $2.000. No ano referência, o consumo total de energia é de 31,14 TWh ou aproximadamente 6,5 milhões de toneladas equivalentes de petróleo (TEP/ano) com plano de investimento indicado na Tabela 2-10 a seguir.</t>
  </si>
  <si>
    <t xml:space="preserve">Os maiores consumos são os dos aparelhos de ar condicionado, que, apesar de terem maior penetração nas classes de alta renda, possuem alta intensidade energética. O segundo maior consumo é o das geladeiras. O menor consumo é o das lâmpadas fluorescentes, que possuem baixa intensidade energética, seguido pelas máquinas de lavar roupa, que possuem baixa penetração. Os ferros elétricos, apesar da alta penetração e da intensidade energética, são usados por pouco tempo em comparação com os demais equipamentos, ficando, assim, com o terceiro menor consumo. </t>
  </si>
  <si>
    <t>Os planos de conservação seriam mais interessantes para os maiores consumidores: ares-condicionados, refrigeradores e lâmpadas incandescentes (substituição por fluorescentes). Todavia, o programa de substituição de lâmpadas incandescentes por fluorescentes compactas, presumindo a mesma base de soquete (E27) e, assim, sem a necessidade de aquisição de luminária, não deve ser dissociado da adaptação do modo de consumo, visto que o uso intermitente (liga-desliga) de fluorescentes diminui a vida útil em 50%, não sendo, portanto, um programa efetivo (duradouro). Ademais, tal substituição promoverá a distorção harmônica (TDH) antes inexistente e isso pode acarretar, quando em larga escala, aquecimento e aumento da energia demandada que passa pelos condutores.</t>
  </si>
  <si>
    <t>Lâmpada incandescente</t>
  </si>
  <si>
    <t>Lâmpada fluorescente</t>
  </si>
  <si>
    <t>Ferro elétrico</t>
  </si>
  <si>
    <t>Aquecedor de água</t>
  </si>
  <si>
    <t>Pessoas/residência</t>
  </si>
  <si>
    <t>Tabela 2-12 – Dispositivo por classe de renda (P=%) e consumo médio por dispositivo (I=W)</t>
  </si>
  <si>
    <t>Tabela 2-13 – Uso (M=Horas/Ano) e consumo E=N×P×M×I (GWh/Ano)</t>
  </si>
  <si>
    <t>Recalculando a Tabela 2-15, mantendo a mesma distribuição de renda do ano de referência e explicando o que acontece:</t>
  </si>
  <si>
    <t>Uso final (M)</t>
  </si>
  <si>
    <t>Na Tabela 2-15 do livro (reproduzida), o consumo de energia integralizado foi maior, porque, em virtude da ascensão da classe de renda (5-10 e &gt;10), as pessoas passaram a ter acesso a mais dispositivos elétricos em casa e maior consumo de energia, considerando, por exemplo, as hipóteses (i) de não adquirirem equipamentos elétricos mais eficientes ou (ii) de estagnação do desenvolvimento. No caso da tabela recalculada, como não houve aumento da renda, conforme proposto pelo exercício, assim (ascenção de classe de renda), o consumo de energia também se manteve inferior.</t>
  </si>
  <si>
    <t>Aqui escolhi aplicar mais um plano de conservação de energia para Brakimpur, no qual todas as lâmpadas incandescentes deverão ser substituídas por fluorescentes no ano x+10 e a distribuição de renda será maior.</t>
  </si>
  <si>
    <t>e a proibição de lâmpadas incandescentes para o setor residencial</t>
  </si>
  <si>
    <t>Para essa estimativa foi considerado que todas as lâmpadas incandescentes da Tabela 2-12 foram substituídas por fluorescentes e as horas de uso das lâmpadas incandescentes da Tabela 2-13 passam a somar nas horas de uso das fluorescentes.</t>
  </si>
  <si>
    <t>O resultado mostra que com essa medida é possível ter um consumo integralizado no ano X+10 menor, por volta de 5,70% com relação ao obtido pelo autor quando projetado o aumento de renda no ano X+10. Assim, com a substituição das lâmpadas incandescentes por lâmpadas fluorescentes, além de prover um serviço melhor e mais eficiente, é possível manter o consumo próximo da projeção sem o aumento de renda, mas com o aumento de renda existindo. Todavia, a análise não deve ser dissociada de avaliação dos critérios técnicos, tal como TDH, no caso substituição em larga escala, e sociais, tal como alteração no modo de consumo, no caso de uso intermitente (liga-desliga) que poderá diminuir a vida útil da lâmpada fluorescente.</t>
  </si>
  <si>
    <r>
      <t xml:space="preserve">% </t>
    </r>
    <r>
      <rPr>
        <i/>
        <sz val="11"/>
        <rFont val="Calibri"/>
        <family val="2"/>
        <scheme val="minor"/>
      </rPr>
      <t>a.a.</t>
    </r>
  </si>
  <si>
    <r>
      <t>(milhões de m</t>
    </r>
    <r>
      <rPr>
        <vertAlign val="superscript"/>
        <sz val="11"/>
        <rFont val="Calibri"/>
        <family val="2"/>
        <scheme val="minor"/>
      </rPr>
      <t>2</t>
    </r>
    <r>
      <rPr>
        <sz val="11"/>
        <rFont val="Calibri"/>
        <family val="2"/>
        <scheme val="minor"/>
      </rPr>
      <t>)</t>
    </r>
  </si>
  <si>
    <t>Participação (%) área uso final</t>
  </si>
  <si>
    <t>Ar-cond.</t>
  </si>
  <si>
    <t>Shopping center</t>
  </si>
  <si>
    <r>
      <t>Os setores de maior consumo são as escolas e os shopping centers</t>
    </r>
    <r>
      <rPr>
        <sz val="11"/>
        <rFont val="Calibri"/>
        <scheme val="minor"/>
      </rPr>
      <t>. Os de menor consumo são os bancos e o comércio pequeno.</t>
    </r>
  </si>
  <si>
    <r>
      <t>As escolas, apesar do baixo consumo por área, existem em grandes quantidades e, assim, acoplam grandes áreas, elevando o consumo total e posicionando esse segmento como o maior consumidor comercial. Os shoppings</t>
    </r>
    <r>
      <rPr>
        <sz val="11"/>
        <rFont val="Calibri"/>
        <scheme val="minor"/>
      </rPr>
      <t xml:space="preserve"> apresentam o maior consumo por área, devido à grande área iluminada e informatizada. Os hotéis são grandes consumidores de energia, sendo o terceiro maior consumo absoluto e o segundo maior por área.</t>
    </r>
  </si>
  <si>
    <t>Um plano de conservação de energia poderia ser aplicado sobre a iluminação e a refrigeração, que apresentam maior participação no espaço e no consumo de energia elétrica nos cinco setores observados.</t>
  </si>
  <si>
    <t xml:space="preserve">Processos de produção que utilizam motores elétricos de 10 a 100 CV são os que representam a maior parte do consumo de energia no setor industrial e, dessa forma, deveriam ser o foco das medidas de conservação. Entre as variáveis intervenientes em um processo de produção com motores elétricos, deve-se atentar para a correção do Fator de Potência, o acionamento industrial, a cogeração de energia, a autoprodução de energia e o Fator de Carga. Ressalta-se que o acionamento de motores elétricos de acima ou igual 100 CV deve atentar para o comportamento dos mancais, que estão sujeitos a descargas capacitivas. Ademais, acionamentos de motores elétricos por inversores de frequência devem ter sua carcaça aumentada devido ao rise time (dv/dt).  </t>
  </si>
  <si>
    <t>É difícil estimar o consumo quando um motor está sobredimensionado, para tanto, deveríamos ter acesso ao fator de serviço ou ao fator de utilização do motor elétrico por processo industrial. Quando isso ocorre, o motor entrega ao equipamento somente a energia necessária para a operação, tendo sua proteção e o sistema de acionamento dimensionado para a energia demanda. Caso o motor esteja sobredimensionado, ele pode trabalhar de maneira menos eficiente, visto que o rendimento e o fator de potência são modificados de acordo com a carga mecânica a ser acionada. O ideal é que um motor elétrico trabalhe entre 75% e 100% de sua capacidade nominal. Quando o motor trabalha com menos que isso, acarreta uma demanda maior de energia e, consequentemente, desperdício de energia e dinheiro. Quanto mais distante dessa faixa o motor trabalhar, maior será o consumo de energia e, por sua vez, o desperdício da mesma. Se 10% dos motores forem redimensionados para cada setor, alterando a distribuição de motores de 10 a 40kW e de 40 a 100kW por setor, e adequando estes motores a trabalharem dentro da faixa de melhor eficiência, ocorrerá, consequentemente, uma redução de consumo devido à melhor eficiência de trabalho dos motores.</t>
  </si>
  <si>
    <r>
      <t>$×10</t>
    </r>
    <r>
      <rPr>
        <vertAlign val="superscript"/>
        <sz val="11"/>
        <rFont val="Calibri"/>
        <family val="2"/>
        <scheme val="minor"/>
      </rPr>
      <t>6</t>
    </r>
  </si>
  <si>
    <t>Hipótese 1. O número de motores (N) de 40&lt;P&lt;100 será reduzido em 10% e o de 10&lt;P&lt;40 será aumentado em números absolutos a redução, ambos linearmente.
Hipótese 2. O serviço energético e a carga mecânica proporcionados pelos motores são transitivos e proporcionais.
Hipótese 3. Os motores possuem sistema de acionamento equivalentes.
Hipótese 4. As alterações no rendimento e no fator de potência não são consideradas.
Hipótese 5. O fator de serviço dos motores não é considerado, contudo, admite-se que esse fator não seja requerido.
Hipótese 6. O número de horas de funcionamento dos novos motores (10&lt;P&lt;40) permanece de acordo com a categoria e o uso final original (40&lt;P&lt;100).
Hipótese 7. A substituição ocorrerá no ano de referência e o crescimento (X+10), portanto, considera tal substituição.
Hipótese 8. O fator de utilização dos motores substituídos de P entre 100 e 40 estão entre 0,4 e 0,25, respectivamente.
Hipótese 9. A intensidade (kW/motor) dos motores incluídos 10&lt;P&lt;40 será reduzida proporcionalmente pela média do Fator de Utilização dos motores de 40&lt;P&lt;100.</t>
  </si>
  <si>
    <t>Os novos motores (10&lt;P&lt;40) permanecem com as mesmas horas de uso dos motores (40&lt;P&lt;100), visto que apenas a potência foi alterada.
A intensidade (I em kW/motor) dos novos motores (10&lt;P&lt;40) será obtida pela média aritmética dos fatores de utilização dos motores passíveis de substituição. Assim, um motor de P=100 pode ser substituído por um de P=40, desde que seu Fu seja de 0,40; e um de P=40 pode ser substituído por um de P=10, desde que seu Fu seja de 0,25. Portanto, a média dos Fu é 0,325.</t>
  </si>
  <si>
    <r>
      <rPr>
        <sz val="11"/>
        <rFont val="Calibri"/>
        <family val="2"/>
        <scheme val="minor"/>
      </rPr>
      <t xml:space="preserve">Número de motores por tipo por subsetor (N)(milhões), </t>
    </r>
    <r>
      <rPr>
        <b/>
        <sz val="11"/>
        <rFont val="Calibri"/>
        <family val="2"/>
        <scheme val="minor"/>
      </rPr>
      <t>considerando a substituição</t>
    </r>
  </si>
  <si>
    <r>
      <rPr>
        <sz val="11"/>
        <rFont val="Calibri"/>
        <family val="2"/>
        <scheme val="minor"/>
      </rPr>
      <t xml:space="preserve">Consumo: ano de referência, E(X)=N×I×M e ano projetado </t>
    </r>
    <r>
      <rPr>
        <b/>
        <sz val="11"/>
        <rFont val="Calibri"/>
        <family val="2"/>
        <scheme val="minor"/>
      </rPr>
      <t>com substituição</t>
    </r>
    <r>
      <rPr>
        <sz val="11"/>
        <rFont val="Calibri"/>
        <family val="2"/>
        <scheme val="minor"/>
      </rPr>
      <t>, E(X+10)=N(X+10)×I×M (GWh)</t>
    </r>
  </si>
  <si>
    <r>
      <rPr>
        <b/>
        <sz val="11"/>
        <rFont val="Calibri"/>
        <family val="2"/>
        <scheme val="minor"/>
      </rPr>
      <t>Redução do consumo</t>
    </r>
    <r>
      <rPr>
        <sz val="11"/>
        <rFont val="Calibri"/>
        <family val="2"/>
        <scheme val="minor"/>
      </rPr>
      <t>: ano de referência, E(X)=N×I×M e ano projetado</t>
    </r>
    <r>
      <rPr>
        <b/>
        <sz val="11"/>
        <rFont val="Calibri"/>
        <family val="2"/>
        <scheme val="minor"/>
      </rPr>
      <t xml:space="preserve"> com substituição</t>
    </r>
    <r>
      <rPr>
        <sz val="11"/>
        <rFont val="Calibri"/>
        <family val="2"/>
        <scheme val="minor"/>
      </rPr>
      <t>, E(X+10)=N(X+10)×I×M (GWh)</t>
    </r>
  </si>
  <si>
    <t>A maior redução relativa ocorre nos subsetores Elétrico/Eletrônica e Alimentos, ambos em torno de 2,70%. A hipótese sobre a intensidade energética dos motores incluídos é a hipótese mais fraca nessa simulação, pois carece de maiores informações.</t>
  </si>
  <si>
    <r>
      <t>PIB (10</t>
    </r>
    <r>
      <rPr>
        <vertAlign val="superscript"/>
        <sz val="11"/>
        <rFont val="Calibri"/>
        <family val="2"/>
        <scheme val="minor"/>
      </rPr>
      <t>6</t>
    </r>
    <r>
      <rPr>
        <sz val="11"/>
        <rFont val="Calibri"/>
        <family val="2"/>
        <scheme val="minor"/>
      </rPr>
      <t xml:space="preserve"> U$ de 2010)</t>
    </r>
  </si>
  <si>
    <r>
      <t>Consumo (10</t>
    </r>
    <r>
      <rPr>
        <vertAlign val="superscript"/>
        <sz val="11"/>
        <rFont val="Calibri"/>
        <family val="2"/>
        <scheme val="minor"/>
      </rPr>
      <t>6</t>
    </r>
    <r>
      <rPr>
        <sz val="11"/>
        <rFont val="Calibri"/>
        <family val="2"/>
        <scheme val="minor"/>
      </rPr>
      <t xml:space="preserve"> TEP)</t>
    </r>
  </si>
  <si>
    <r>
      <t>Conteúdo do Recurso Energético Primário [TEP / 10</t>
    </r>
    <r>
      <rPr>
        <b/>
        <vertAlign val="superscript"/>
        <sz val="11"/>
        <rFont val="Calibri"/>
        <family val="2"/>
        <scheme val="minor"/>
      </rPr>
      <t>3</t>
    </r>
    <r>
      <rPr>
        <b/>
        <sz val="11"/>
        <rFont val="Calibri"/>
        <family val="2"/>
        <scheme val="minor"/>
      </rPr>
      <t xml:space="preserve"> U$ PIB] - Brasil (2000 a 2010) </t>
    </r>
  </si>
  <si>
    <r>
      <t>(10</t>
    </r>
    <r>
      <rPr>
        <vertAlign val="superscript"/>
        <sz val="11"/>
        <rFont val="Calibri"/>
        <family val="2"/>
        <scheme val="minor"/>
      </rPr>
      <t>3</t>
    </r>
    <r>
      <rPr>
        <sz val="11"/>
        <rFont val="Calibri"/>
        <family val="2"/>
        <scheme val="minor"/>
      </rPr>
      <t xml:space="preserve"> TEP/dia)</t>
    </r>
  </si>
  <si>
    <r>
      <t>Petróleo [10</t>
    </r>
    <r>
      <rPr>
        <vertAlign val="superscript"/>
        <sz val="11"/>
        <rFont val="Calibri"/>
        <family val="2"/>
        <scheme val="minor"/>
      </rPr>
      <t>3</t>
    </r>
    <r>
      <rPr>
        <sz val="11"/>
        <rFont val="Calibri"/>
        <family val="2"/>
        <scheme val="minor"/>
      </rPr>
      <t xml:space="preserve"> TEP/dia] =</t>
    </r>
  </si>
  <si>
    <r>
      <t>tep (</t>
    </r>
    <r>
      <rPr>
        <i/>
        <sz val="11"/>
        <rFont val="Calibri"/>
        <family val="2"/>
        <scheme val="minor"/>
      </rPr>
      <t>toe</t>
    </r>
    <r>
      <rPr>
        <b/>
        <sz val="11"/>
        <rFont val="Calibri"/>
        <family val="2"/>
        <scheme val="minor"/>
      </rPr>
      <t>)</t>
    </r>
  </si>
  <si>
    <r>
      <t>bep (</t>
    </r>
    <r>
      <rPr>
        <i/>
        <sz val="11"/>
        <rFont val="Calibri"/>
        <family val="2"/>
        <scheme val="minor"/>
      </rPr>
      <t>boe</t>
    </r>
    <r>
      <rPr>
        <b/>
        <sz val="11"/>
        <rFont val="Calibri"/>
        <family val="2"/>
        <scheme val="minor"/>
      </rPr>
      <t>)</t>
    </r>
  </si>
  <si>
    <r>
      <t>947,8 x 10</t>
    </r>
    <r>
      <rPr>
        <vertAlign val="superscript"/>
        <sz val="11"/>
        <rFont val="Calibri"/>
        <family val="2"/>
        <scheme val="minor"/>
      </rPr>
      <t>-6</t>
    </r>
  </si>
  <si>
    <r>
      <t>277,8 x 10</t>
    </r>
    <r>
      <rPr>
        <vertAlign val="superscript"/>
        <sz val="11"/>
        <rFont val="Calibri"/>
        <family val="2"/>
        <scheme val="minor"/>
      </rPr>
      <t>-9</t>
    </r>
  </si>
  <si>
    <r>
      <t>2,388 x 10</t>
    </r>
    <r>
      <rPr>
        <vertAlign val="superscript"/>
        <sz val="11"/>
        <rFont val="Calibri"/>
        <family val="2"/>
        <scheme val="minor"/>
      </rPr>
      <t>-11</t>
    </r>
  </si>
  <si>
    <r>
      <t>1,681 x 10</t>
    </r>
    <r>
      <rPr>
        <vertAlign val="superscript"/>
        <sz val="11"/>
        <rFont val="Calibri"/>
        <family val="2"/>
        <scheme val="minor"/>
      </rPr>
      <t>-10</t>
    </r>
  </si>
  <si>
    <r>
      <t>293,07 x 10</t>
    </r>
    <r>
      <rPr>
        <vertAlign val="superscript"/>
        <sz val="11"/>
        <rFont val="Calibri"/>
        <family val="2"/>
        <scheme val="minor"/>
      </rPr>
      <t>-6</t>
    </r>
  </si>
  <si>
    <r>
      <t>2,52 x 10</t>
    </r>
    <r>
      <rPr>
        <vertAlign val="superscript"/>
        <sz val="11"/>
        <rFont val="Calibri"/>
        <family val="2"/>
        <scheme val="minor"/>
      </rPr>
      <t>-8</t>
    </r>
  </si>
  <si>
    <r>
      <t>1,776 x 10</t>
    </r>
    <r>
      <rPr>
        <vertAlign val="superscript"/>
        <sz val="11"/>
        <rFont val="Calibri"/>
        <family val="2"/>
        <scheme val="minor"/>
      </rPr>
      <t>-7</t>
    </r>
  </si>
  <si>
    <r>
      <t>3,968 x 10</t>
    </r>
    <r>
      <rPr>
        <vertAlign val="superscript"/>
        <sz val="11"/>
        <rFont val="Calibri"/>
        <family val="2"/>
        <scheme val="minor"/>
      </rPr>
      <t>-3</t>
    </r>
  </si>
  <si>
    <r>
      <t>1,163 x 10</t>
    </r>
    <r>
      <rPr>
        <vertAlign val="superscript"/>
        <sz val="11"/>
        <rFont val="Calibri"/>
        <family val="2"/>
        <scheme val="minor"/>
      </rPr>
      <t>-6</t>
    </r>
  </si>
  <si>
    <r>
      <t>10</t>
    </r>
    <r>
      <rPr>
        <vertAlign val="superscript"/>
        <sz val="11"/>
        <rFont val="Calibri"/>
        <family val="2"/>
        <scheme val="minor"/>
      </rPr>
      <t>-10</t>
    </r>
  </si>
  <si>
    <r>
      <t>7,042 x 10</t>
    </r>
    <r>
      <rPr>
        <vertAlign val="superscript"/>
        <sz val="11"/>
        <rFont val="Calibri"/>
        <family val="2"/>
        <scheme val="minor"/>
      </rPr>
      <t>-10</t>
    </r>
  </si>
  <si>
    <r>
      <t>3,6 x 10</t>
    </r>
    <r>
      <rPr>
        <vertAlign val="superscript"/>
        <sz val="11"/>
        <rFont val="Calibri"/>
        <family val="2"/>
        <scheme val="minor"/>
      </rPr>
      <t>6</t>
    </r>
  </si>
  <si>
    <r>
      <t>8,598 x 10</t>
    </r>
    <r>
      <rPr>
        <vertAlign val="superscript"/>
        <sz val="11"/>
        <rFont val="Calibri"/>
        <family val="2"/>
        <scheme val="minor"/>
      </rPr>
      <t>-5</t>
    </r>
  </si>
  <si>
    <r>
      <t>6,061 x 10</t>
    </r>
    <r>
      <rPr>
        <vertAlign val="superscript"/>
        <sz val="11"/>
        <rFont val="Calibri"/>
        <family val="2"/>
        <scheme val="minor"/>
      </rPr>
      <t>-4</t>
    </r>
  </si>
  <si>
    <r>
      <t>41,868 x 10</t>
    </r>
    <r>
      <rPr>
        <vertAlign val="superscript"/>
        <sz val="11"/>
        <rFont val="Calibri"/>
        <family val="2"/>
        <scheme val="minor"/>
      </rPr>
      <t>9</t>
    </r>
  </si>
  <si>
    <r>
      <t>39,68 x 10</t>
    </r>
    <r>
      <rPr>
        <vertAlign val="superscript"/>
        <sz val="11"/>
        <rFont val="Calibri"/>
        <family val="2"/>
        <scheme val="minor"/>
      </rPr>
      <t>6</t>
    </r>
  </si>
  <si>
    <r>
      <t>10</t>
    </r>
    <r>
      <rPr>
        <vertAlign val="superscript"/>
        <sz val="11"/>
        <rFont val="Calibri"/>
        <family val="2"/>
        <scheme val="minor"/>
      </rPr>
      <t>10</t>
    </r>
  </si>
  <si>
    <r>
      <t>5,95 x 10</t>
    </r>
    <r>
      <rPr>
        <vertAlign val="superscript"/>
        <sz val="11"/>
        <rFont val="Calibri"/>
        <family val="2"/>
        <scheme val="minor"/>
      </rPr>
      <t>9</t>
    </r>
  </si>
  <si>
    <r>
      <t>5,63 x 10</t>
    </r>
    <r>
      <rPr>
        <vertAlign val="superscript"/>
        <sz val="11"/>
        <rFont val="Calibri"/>
        <family val="2"/>
        <scheme val="minor"/>
      </rPr>
      <t>6</t>
    </r>
  </si>
  <si>
    <r>
      <t>1,42 x 10</t>
    </r>
    <r>
      <rPr>
        <vertAlign val="superscript"/>
        <sz val="11"/>
        <rFont val="Calibri"/>
        <family val="2"/>
        <scheme val="minor"/>
      </rPr>
      <t>9</t>
    </r>
  </si>
  <si>
    <r>
      <t>(10</t>
    </r>
    <r>
      <rPr>
        <vertAlign val="superscript"/>
        <sz val="11"/>
        <rFont val="Calibri"/>
        <family val="2"/>
        <scheme val="minor"/>
      </rPr>
      <t>3</t>
    </r>
    <r>
      <rPr>
        <sz val="11"/>
        <rFont val="Calibri"/>
        <family val="2"/>
        <scheme val="minor"/>
      </rPr>
      <t xml:space="preserve"> boe/dia)</t>
    </r>
  </si>
  <si>
    <r>
      <t>10</t>
    </r>
    <r>
      <rPr>
        <vertAlign val="superscript"/>
        <sz val="11"/>
        <rFont val="Calibri"/>
        <family val="2"/>
        <scheme val="minor"/>
      </rPr>
      <t>3</t>
    </r>
    <r>
      <rPr>
        <sz val="11"/>
        <rFont val="Calibri"/>
        <family val="2"/>
        <scheme val="minor"/>
      </rPr>
      <t xml:space="preserve"> TEP</t>
    </r>
  </si>
  <si>
    <r>
      <t>(10</t>
    </r>
    <r>
      <rPr>
        <vertAlign val="superscript"/>
        <sz val="11"/>
        <rFont val="Calibri"/>
        <family val="2"/>
        <scheme val="minor"/>
      </rPr>
      <t>6</t>
    </r>
    <r>
      <rPr>
        <sz val="11"/>
        <rFont val="Calibri"/>
        <family val="2"/>
        <scheme val="minor"/>
      </rPr>
      <t xml:space="preserve"> bbl/dia)</t>
    </r>
  </si>
  <si>
    <r>
      <t xml:space="preserve"> </t>
    </r>
    <r>
      <rPr>
        <b/>
        <sz val="11"/>
        <rFont val="Calibri"/>
        <family val="2"/>
        <scheme val="minor"/>
      </rPr>
      <t>Calcule as economias máximas de MWh e MW que poderiam ser atingidas se todos os dez programas e políticas fossem implementados.</t>
    </r>
  </si>
  <si>
    <t>Cada agente tem uma taxa de desconto referente ao tempo em que espera o retorno financeiro do investimento. O consumidor final, por ter menor capacidade de aporte e o desejo de retorno ao investimento em curto prazo, tem uma taxa de desconto mais alta. A CE apresenta uma taxa de desconto menor devido à maior facilidade de acesso a crédito e a programas de investimento; essa taxa é compatível com o desejo do investidor. O governo, com sua visão de investir para o desenvolvimento econômico e social e devido à maior capacidade de investimento e crédito, não objetiva um retorno elevado e apresenta a menor taxa, visto que espera o retorno mínimo até o final da vida útil do equipamento.</t>
  </si>
  <si>
    <t>EXEMPLO 3.3 – Identifique as principais barreiras existentes para a introdução do método PIR para a sua região, área de abrangência da sua companhia de eletricidade ou Estado, dando exemplos.</t>
  </si>
  <si>
    <t xml:space="preserve">Algumas das barreiras que podemos destacar são: 
- a formatação dos modelos de fornecimento, nos quais as concessionárias de energia ainda estão focadas no aumento de receita e na necessidade de vendas de kWh, estabelecendo, assim, uma dificuldade para a implantação de ações de GLD para o aumento da conservação de energia; 
- a falta de conscientização da comunidade a respeito dos ganhos e das economias geradas por medidas de conservação de energia. Essa conscientização seria uma maneira de forçar o apelo popular por um planejamento integrado de recursos;
- a falta de políticas e a implementação de obrigações que exijam um planejamento voltado a análises de opções do lado da oferta e da demanda e a execução de um PIR de longo prazo, com revisões estratégicas periódicas;
- a desconsideração dos custos das externalidades econômicas socioambientais do custo marginal privado da produção, transmissão e distribuição de energia; e
- a consideração apenas do capital e do trabalho no equacionamento da função de produção econômica, excluindo a variável ambiental (capital natural).
</t>
  </si>
  <si>
    <t>Tabela 3-2 - Dados EXEMPLO 3.4</t>
  </si>
  <si>
    <t>EXEMPLO 3.4 – Considere o investimento em conservação de energia na iluminação por meio da troca de lâmpadas do modelo A para o B (ver Tabela 3-2), usando as taxas de desconto de cada agente do EXEMPLO 3.1. Qual seria o preço máximo para ser debitado por uma lâmpada modelo B para consumidores, companhias elétricas e governo? Considere o preço da energia igual a R$80,00/MWh para o consumidor, R$15/MWh para a companhia elétrica (custo marginal) e para o governo R$50/MWh (consumidor institucional). Considere, também, que os modelos A e B fornecem a mesma quantidade de lúmens e que o tempo de uso é igual para todos os agentes.</t>
  </si>
  <si>
    <t xml:space="preserve">EXEMPLO 3.5 – Suponha que a PG&amp;E promova um programa de substituição de lâmpadas oferecendo um desconto de $5 em cada lâmpada compacta fluorescente (LCF) de 18 Watts, equivalente a uma lâmpada incandescente de 75 Watts, e que dure 10.000 horas. Suponha que: 
• O custo adicional para a PG&amp;E administrar o programa seja de $1;
• O custo marginal da eletricidade para a PG&amp;E seja de 0,04US$/kWh.
Encontre os ganhos possíveis para os acionistas da PG&amp;E se 1 milhão de consumidores participarem do programa.
</t>
  </si>
  <si>
    <t>EXEMPLO 3.6 – Com os dados do EXEMPLO 3.5, estime o benefício desse programa para a sociedade. Suponha o custo de $15 para uma LCF numa loja local ($10 após o desconto). Qual será o custo social do programa?</t>
  </si>
  <si>
    <t>Portanto, o custo social será:</t>
  </si>
  <si>
    <r>
      <t>EXEMPLO 3.7 – Compare o uso de energia, as emissões de carbono e os custos para substituir um aquecedor de água elétrico por um a gás pela Companhia de Energia de Brakimpur. A energia útil do consumidor necessária para o aquecimento da água é 3,5 MWh por ano. O aquecedor de água elétrico tem eficiência de 90% e custa $200, enquanto o equipamento a gás é 65% eficiente e custa $400. Para essa CE, a oferta de eletricidade marginal usada durante o ano para abastecer o aquecedor de água produz 0,18 tCO</t>
    </r>
    <r>
      <rPr>
        <b/>
        <vertAlign val="subscript"/>
        <sz val="11"/>
        <rFont val="Calibri"/>
        <family val="2"/>
        <scheme val="minor"/>
      </rPr>
      <t>2</t>
    </r>
    <r>
      <rPr>
        <b/>
        <sz val="11"/>
        <rFont val="Calibri"/>
        <family val="2"/>
        <scheme val="minor"/>
      </rPr>
      <t xml:space="preserve"> por MWh. A combustão do gás, por outro lado, produz 14 kgCO</t>
    </r>
    <r>
      <rPr>
        <b/>
        <vertAlign val="subscript"/>
        <sz val="11"/>
        <rFont val="Calibri"/>
        <family val="2"/>
        <scheme val="minor"/>
      </rPr>
      <t>2</t>
    </r>
    <r>
      <rPr>
        <b/>
        <vertAlign val="superscript"/>
        <sz val="11"/>
        <rFont val="Calibri"/>
        <family val="2"/>
        <scheme val="minor"/>
      </rPr>
      <t xml:space="preserve"> </t>
    </r>
    <r>
      <rPr>
        <b/>
        <sz val="11"/>
        <rFont val="Calibri"/>
        <family val="2"/>
        <scheme val="minor"/>
      </rPr>
      <t>por GJ ou 0,05 tCO</t>
    </r>
    <r>
      <rPr>
        <b/>
        <vertAlign val="subscript"/>
        <sz val="11"/>
        <rFont val="Calibri"/>
        <family val="2"/>
        <scheme val="minor"/>
      </rPr>
      <t>2</t>
    </r>
    <r>
      <rPr>
        <b/>
        <sz val="11"/>
        <rFont val="Calibri"/>
        <family val="2"/>
        <scheme val="minor"/>
      </rPr>
      <t xml:space="preserve"> por MWh equivalente. O gás custa $5/GJ ou $18/MWh e a eletricidade custa $65/MWh.</t>
    </r>
  </si>
  <si>
    <r>
      <t>A vida útil dos dois aquecedores é de 15 anos e a taxa de desconto é 6%, que dá um FRC (Fator de Recuperação de Capital) de 0,10. Existe benefício econômico em se promover a substituição do aquecedor elétrico por outro a gás? Existe redução de emissões de CO</t>
    </r>
    <r>
      <rPr>
        <b/>
        <vertAlign val="subscript"/>
        <sz val="11"/>
        <rFont val="Calibri"/>
        <family val="2"/>
        <scheme val="minor"/>
      </rPr>
      <t>2</t>
    </r>
    <r>
      <rPr>
        <b/>
        <sz val="11"/>
        <rFont val="Calibri"/>
        <family val="2"/>
        <scheme val="minor"/>
      </rPr>
      <t>? Considere as seguintes definições:</t>
    </r>
  </si>
  <si>
    <t>• E(MWh/ano)=Carga(MWh/ano)/Ef;
• TE(t/ano)=E(MWh/ano)×DEC/DE(t/MWh);
• CA($/ano)=Ccap($)×FRC(ano–1)+E(MWh/ano)×Ccomb($/MWh),
Onde E é o uso de energia anual (MWh/ano); Carga (ou Potência) é a carga de energia útil anual (MWh/ano); Ef é a eficiência da tecnologia do uso final; TE é a taxa de emissão anual (t/ano); DEC/DE é a intensidade de emissão do combustível ou eletricidade (t/MWh); CA é o custo anual do serviço ($/ano); Ccap é o custo de capital da tecnologia de uso final ($); FRC é o fator de recuperação de capital e Ccomb é o custo unitário do combustível ou eletricidade ($/MWh ou $/GJ).</t>
  </si>
  <si>
    <t>Custo aquec.</t>
  </si>
  <si>
    <r>
      <t>tCO</t>
    </r>
    <r>
      <rPr>
        <vertAlign val="subscript"/>
        <sz val="11"/>
        <rFont val="Calibri"/>
        <family val="2"/>
        <scheme val="minor"/>
      </rPr>
      <t>2</t>
    </r>
    <r>
      <rPr>
        <sz val="11"/>
        <rFont val="Calibri"/>
        <scheme val="minor"/>
      </rPr>
      <t>/MWh</t>
    </r>
  </si>
  <si>
    <t>Ef. aquec.</t>
  </si>
  <si>
    <t>Emissões Produção E.E.</t>
  </si>
  <si>
    <r>
      <t>tCO</t>
    </r>
    <r>
      <rPr>
        <vertAlign val="subscript"/>
        <sz val="11"/>
        <rFont val="Calibri"/>
        <family val="2"/>
        <scheme val="minor"/>
      </rPr>
      <t>2</t>
    </r>
  </si>
  <si>
    <t>Demanda de energia</t>
  </si>
  <si>
    <r>
      <t>Para o caso acima, apesar de o aquecedor a gás ter uma eficiência de 65%, menor que o elétrico, o custo anual é menor, permitindo uma economia anual de $135,85. As emissões evitadas também são maiores, atingindo 0,43 tCO</t>
    </r>
    <r>
      <rPr>
        <vertAlign val="subscript"/>
        <sz val="11"/>
        <rFont val="Calibri"/>
        <family val="2"/>
        <scheme val="minor"/>
      </rPr>
      <t>2</t>
    </r>
    <r>
      <rPr>
        <sz val="11"/>
        <rFont val="Calibri"/>
        <scheme val="minor"/>
      </rPr>
      <t xml:space="preserve"> evitadas. Se considerarmos, conforme a resolução do livro, que a eletricidade possui um valor de energia primária três vezes maior comparada ao gás, a economia de energia primária também será significativa: (3×3,9)-5,4 = 6,3 MWh por ano.</t>
    </r>
  </si>
  <si>
    <t>EXEMPLO 3.8 – O EXEMPLO 3.7 mostrou os benefícios de substituir um aquecedor de resistência elétrica por um a gás. Bombas de calor elétricas, por outro lado, podem atingir uma eficiência bastante grande e podem deslocar as tecnologias que usam gás em alguns casos. A eficiência típica de uso final elétrica para aquecedores de água utilizando bomba de calor é de aproximadamente 2,1 COP (Coeficient of Performance). Compare o desempenho energético, as emissões e os custos de um aquecedor de água de bomba de calor de um consumidor da Companhia de Energia de Brakimpur e o aquecedor a gás descrito no EXEMPLO 3.7.</t>
  </si>
  <si>
    <t>Considerando que a eletricidade possui um valor de energia primária três vezes maior comparada ao gás:</t>
  </si>
  <si>
    <r>
      <t>t CO</t>
    </r>
    <r>
      <rPr>
        <vertAlign val="subscript"/>
        <sz val="11"/>
        <rFont val="Calibri"/>
        <family val="2"/>
        <scheme val="minor"/>
      </rPr>
      <t>2</t>
    </r>
  </si>
  <si>
    <t>Taxa Consum.</t>
  </si>
  <si>
    <t>EXEMPLO 3.9 – Calcule a economia considerando um investimento em substituição de um chuveiro elétrico por um sistema de pré-aquecimento solar – chuveiro de baixa potência – para a concessionária de eletricidade e para o consumidor, considerando a taxa de desconto da CE de 12% e a taxa de desconto do consumidor de 25%. Os dados para a análise econômica estão na Tabela 3-4 a seguir. Os custos de energia para os dois agentes são os mesmos indicados no EXEMPLO 3.7.</t>
  </si>
  <si>
    <t>Tabela 3-4 - Dados de substituição - EXEMPLO 3.9</t>
  </si>
  <si>
    <t>Pela análise incremental de investimentos mutuamente exclusivos, o investimento no pré-aquecedor solar tem benefício financeiro (custo evitado para uma taxa de desconto de 12%) para a CE na ordem de R$ 728,54, sendo, portanto, válido. 
Pela análise incremental de investimentos mutuamente exclusivos, o investimento no pré-aquecedor solar tem benefício financeiro (custo evitado para uma taxa de desconto de 25%) para o consumidor na ordem de R$ 191,73, sendo, portanto, válido.
Conforme análise gráfica dos investimentos, tem-se que, independentemente do investidor, o chuveiro elétrico superará o pré-aquecedor solar, permanecendo o fluxo apresentado apenas com a taxa de desconto do investidor (CE ou consumidor) superior a 37%.</t>
  </si>
  <si>
    <t>Análise incremental de investimentos mutuamente exclusivos</t>
  </si>
  <si>
    <t>Pré-aquec. - chuv.</t>
  </si>
  <si>
    <t>Tabela 3-6 – Brakimpur – Idade do estoque de refrigeradores no ano base</t>
  </si>
  <si>
    <t>Subst. fim da vida útil</t>
  </si>
  <si>
    <t>Subst. Plano A</t>
  </si>
  <si>
    <t>Trace um gráfico com a evolução do consumo de energia para uso final de refrigeração de alimentos de Brakimpur para os próximos 25 anos pelo plano A, plano B e sem adoção de plano (substituição espontânea).</t>
  </si>
  <si>
    <t>EXEMPLO 3.10 – Supondo que em Brakimpur existem somente dois tipos de geladeiras: modelo A (800 kWh/ano – modelo antigo e fora de fabricação) e modelo B (400 kWh/ano – um modelo novo ainda não em uso). Considere que no ano base existem 1 milhão de geladeiras do modelo A em uso e que suas vidas úteis são de 25 anos (período em que elas devem ser substituídas por uma nova). Todo ano, 50.000 novas residências são construídas em Brakimpur, que demandam novas geladeiras no mercado. As idades das geladeiras do tipo A (em uso) estão classificadas de acordo com a Tabela 3-6 a seguir:</t>
  </si>
  <si>
    <t xml:space="preserve">• 5% a.a. dos usuários espontaneamente substituirão o modelo A pelo modelo B, independentemente da sua idade atual. Os refrigeradores substituídos por novos modelos em função da vida útil não entram no cômputo desses 5%;
• A taxa de substituição dos modelos obsoletos dependerá dos esforços que você, como um gerente do governo, dedica ao programa de GLD. Em outras palavras, você pode escolher a opção entre: Plano A – substituir a cada ano 60% dos modelos antigos por novos modelos com altos investimentos em campanhas e subsídios; e Plano B – substituir a cada ano apenas 30% dos modelos antigos por novos modelos.
</t>
  </si>
  <si>
    <t>Subst. Plano B</t>
  </si>
  <si>
    <t>Novas resid. acum.</t>
  </si>
  <si>
    <t>Subst. espontâneas</t>
  </si>
  <si>
    <t>Total residências</t>
  </si>
  <si>
    <r>
      <t>No livro é dado um endereço eletrônico para o download</t>
    </r>
    <r>
      <rPr>
        <sz val="11"/>
        <rFont val="Calibri"/>
        <scheme val="minor"/>
      </rPr>
      <t xml:space="preserve"> das planilhas do exercício de Brakimpur. Por meio da planilha BRAKCH2.xls (na aba </t>
    </r>
    <r>
      <rPr>
        <i/>
        <sz val="11"/>
        <rFont val="Calibri"/>
        <family val="2"/>
        <scheme val="minor"/>
      </rPr>
      <t>revised residencial</t>
    </r>
    <r>
      <rPr>
        <sz val="11"/>
        <rFont val="Calibri"/>
        <scheme val="minor"/>
      </rPr>
      <t>, tabela A) é possível calcular que em média 84% das residências possuem refrigeradores (Brakimpur conta com 10,5 milhões de habitantes, com 4,18 pessoas por residência; levando em conta a distribuição de renda por residência e a porcentagem de residências com refrigeradores por classe de renda, calculamos que em média 84% das residências possuem refrigeradores). Portanto, sendo o total de residências em Brakimpur de 2,5 milhões aproximadamente, o número de refrigeradores que existem seria de pouco mais de 2,1 milhões de equipamentos (84% das residências).
Porém, será usado no exercício o número total de geladeiras existentes, de 1 milhão, e os dados sobre expansão do número de equipamentos e substituição, conforme enunciado.</t>
    </r>
  </si>
  <si>
    <t>Tabela 3-8 – Simulação de custos totais de um programa de descontos para lâmpadas eficientes</t>
  </si>
  <si>
    <t>Custo lâmp. para CE</t>
  </si>
  <si>
    <t>Custo total para CE</t>
  </si>
  <si>
    <t>Economia líquida do prog. de GLD</t>
  </si>
  <si>
    <t>*Desconsiderando a taxa de desconto que insidiria na análise financeira sobre o custo evitado.</t>
  </si>
  <si>
    <t>Custo das 2 lâmpadas</t>
  </si>
  <si>
    <t>Vida útil lâmpada</t>
  </si>
  <si>
    <t>EXEMPLO 3.11 – Considere os dados da Tabela 3-8 a seguir, referente a um programa de desconto para lâmpadas eficientes com duração de 5 anos. Calcule a economia líquida desse programa para a CE e para o consumidor.</t>
  </si>
  <si>
    <t>Valor da EE economizada com a troca das lâmpadas</t>
  </si>
  <si>
    <t>Custo de aquisição de lâmp. eficientes</t>
  </si>
  <si>
    <t>**Atenção, no cálculo da economia líquida o custo evitado deve ser transportado para o valor presente para ser equivalente ao custo anual do programa de GLD e a depreciação anual do investimento das lâmpadas.</t>
  </si>
  <si>
    <t>**Atenção, no cálculo da economia líquida o custo evitado deve ser transportado para o valor presente para ser equivalente ao custo anual do programa de GLD e à depreciação anual do investimento das lâmpadas.</t>
  </si>
  <si>
    <t xml:space="preserve">A CE tem um custo anual de $ 76.842,50 para implantar o programa e financiar a troca das lâmpadas. Essa medida irá evitar um valor de $ 87.264,00 devido à economia de energia elétrica, gerando, portanto, um saldo de (87.264,0 - 76.842,5) $ 10.421,5. Como o custo de implantação foi de $ 76.842,50, a economia de energia foi de (175.200 - 89.280) 85.920 kWh/ano, o que dá $ 0,12/kWh economizado ($ 10.421,5/ 85.920).
</t>
  </si>
  <si>
    <t>2 lâmpadas não eficientes</t>
  </si>
  <si>
    <t>2 lâmpadas eficientes</t>
  </si>
  <si>
    <t>Energia economizada para o consumidor</t>
  </si>
  <si>
    <t>Custo anualizado das lâmpadas</t>
  </si>
  <si>
    <t>Para o consumidor</t>
  </si>
  <si>
    <t>Energia não adquirida pelo consumidor</t>
  </si>
  <si>
    <t>O consumidor tem o custo anual de $ 22,31 para trocar as lâmpadas e um custo evitado de $ 42,96, portanto, um saldo de (42,96 - 22,31) $ 20,65 em economia líquida por ano.</t>
  </si>
  <si>
    <t>Economia Líquida</t>
  </si>
  <si>
    <t>Análise da Economia Líquida em GLD</t>
  </si>
  <si>
    <t>A análise de investimentos mutuamente exclusivos para a CE apresenta custos financeiros viáveis para o GLD, porém, caso a TMA seja superior a 17,4%, tem-se uma economia líquida negativa, sendo, portanto, o GLD recusado pela CE.
A análise de investimentos mutuamente exclusivos para o consumidor apresenta custos financeiros viáveis para o GLD, porém, caso a TMA seja superior a 65,9%, tem-se uma economia líquida negativa, sendo, portanto, o GLD recusado pela CE.</t>
  </si>
  <si>
    <t>Custo anual do programa para a CE</t>
  </si>
  <si>
    <t>EXEMPLO 3.14 – Este exercício trata de estratégias de implementação de eficiência de energia e programas GLD. Sugerimos uma planilha de cálculo para organizar e comparar as informações de cada estratégia/programa listada no item 3.6.6. Como exemplo, há uma planilha de trabalho com alguns dados iniciais no endereço da internet. A ideia é que o leitor adapte esses dados o mais próximo da realidade, inserindo e interpretando as informações necessárias.</t>
  </si>
  <si>
    <r>
      <t>As medidas impostas pelo</t>
    </r>
    <r>
      <rPr>
        <i/>
        <sz val="11"/>
        <rFont val="Calibri"/>
        <family val="2"/>
        <scheme val="minor"/>
      </rPr>
      <t xml:space="preserve"> mandatory code</t>
    </r>
    <r>
      <rPr>
        <sz val="11"/>
        <rFont val="Calibri"/>
        <scheme val="minor"/>
      </rPr>
      <t xml:space="preserve"> (de obrigação)  são as com maior número de participantes e que apresentam maior potencial de economia de MWh. Para o caso do </t>
    </r>
    <r>
      <rPr>
        <i/>
        <sz val="11"/>
        <rFont val="Calibri"/>
        <family val="2"/>
        <scheme val="minor"/>
      </rPr>
      <t>mandatory code</t>
    </r>
    <r>
      <rPr>
        <sz val="11"/>
        <rFont val="Calibri"/>
        <scheme val="minor"/>
      </rPr>
      <t xml:space="preserve"> para refrigeração, existe um grande número de participantes, o que transforma uma pequena economia de energia em um grande montante final. Em MW, a economia é grande para a refrigeração na política de </t>
    </r>
    <r>
      <rPr>
        <i/>
        <sz val="11"/>
        <rFont val="Calibri"/>
        <family val="2"/>
        <scheme val="minor"/>
      </rPr>
      <t>mandatory code</t>
    </r>
    <r>
      <rPr>
        <sz val="11"/>
        <rFont val="Calibri"/>
        <scheme val="minor"/>
      </rPr>
      <t xml:space="preserve"> e para a substituição de lâmpadas no setor comercial, devido à elevada relação pico/demanda. 
As medidas que apresentam menor potencial são as medidas de programas de informação para </t>
    </r>
    <r>
      <rPr>
        <i/>
        <sz val="11"/>
        <rFont val="Calibri"/>
        <family val="2"/>
        <scheme val="minor"/>
      </rPr>
      <t>new buildings</t>
    </r>
    <r>
      <rPr>
        <sz val="11"/>
        <rFont val="Calibri"/>
        <scheme val="minor"/>
      </rPr>
      <t>, auditoria industrial e as de abatimento no setor comercial (</t>
    </r>
    <r>
      <rPr>
        <i/>
        <sz val="11"/>
        <rFont val="Calibri"/>
        <family val="2"/>
        <scheme val="minor"/>
      </rPr>
      <t>commercial rebate</t>
    </r>
    <r>
      <rPr>
        <sz val="11"/>
        <rFont val="Calibri"/>
        <scheme val="minor"/>
      </rPr>
      <t>) pela pequena percentagem de participantes.</t>
    </r>
  </si>
  <si>
    <t>Quais programas/políticas possuem os mais baixos custos por kWh? Quais programas/políticas possuem os custos mais altos por kWh? Como os custos desses programas e políticas podem ser comparados com o custo por kWh de eletricidade de uma nova usina a gás ou a carvão?</t>
  </si>
  <si>
    <r>
      <t>Custos mais altos: programa de substituição de lâmpadas no setor comercial, auditorias industriais e abatimento comercial (</t>
    </r>
    <r>
      <rPr>
        <i/>
        <sz val="11"/>
        <rFont val="Calibri"/>
        <family val="2"/>
        <scheme val="minor"/>
      </rPr>
      <t>comercial rebate</t>
    </r>
    <r>
      <rPr>
        <sz val="11"/>
        <rFont val="Calibri"/>
        <scheme val="minor"/>
      </rPr>
      <t>).
Custos baixos: gerenciador de energia (</t>
    </r>
    <r>
      <rPr>
        <i/>
        <sz val="11"/>
        <rFont val="Calibri"/>
        <family val="2"/>
        <scheme val="minor"/>
      </rPr>
      <t>energy manager</t>
    </r>
    <r>
      <rPr>
        <sz val="11"/>
        <rFont val="Calibri"/>
        <scheme val="minor"/>
      </rPr>
      <t xml:space="preserve">), </t>
    </r>
    <r>
      <rPr>
        <i/>
        <sz val="11"/>
        <rFont val="Calibri"/>
        <family val="2"/>
        <scheme val="minor"/>
      </rPr>
      <t>mandatory code</t>
    </r>
    <r>
      <rPr>
        <sz val="11"/>
        <rFont val="Calibri"/>
        <scheme val="minor"/>
      </rPr>
      <t xml:space="preserve"> para novos prédios e refrigeradores.
A comparação pode ser feita avaliando o custo de cada kWh economizado em comparação com a geração de energia nova. Caso o custo da medida de economia seja menor que a geração de energia nova, o programa pode ser interessante. Uma avaliação do retorno para a CE e para o consumidor deve ser feita.</t>
    </r>
  </si>
  <si>
    <t>Se você tivesse que fazer uma opção por dois programas da lista, considerando as barreiras, os problemas e as vantagens dos programas e das políticas expostos neste capítulo, qual seria sua decisão? Por quê?</t>
  </si>
  <si>
    <t>Considere um aumento no preço da energia de 40%. Como isso poderia afetar os custos e os resultados de cada programa? Levante algumas hipóteses, descreva-as e faça as mudanças necessárias na planilha de cálculo.</t>
  </si>
  <si>
    <t>Com o aumento do preço da energia, surge um maior interesse dos consumidores (residenciais, comerciais e industriais) em reduzir o consumo e, consequentemente, os gastos. Dessa forma, medidas como a troca de lâmpadas precisariam de um incentivo menor para ocorrer e medidas de informação podem ser mais eficazes, proporcionando mais economia e atraindo um maior número de participantes. Assim, as medidas apresentadas na planilha de cálculo com menores potenciais devido a poucos participantes ou medidas que seriam caras (independente do retorno), como a troca de lâmpadas, poderiam ter custos bem reduzidos. Para essas considerações na planilha, precisaríamos reavaliar o número de participantes em cada medida devido ao aumento do preço da energia e reavaliar o custo de economia por MWh. Por exemplo, para a troca de lâmpadas no setor comercial, a participação de 50% do setor poderia aumentar para 80%, ampliando o potencial de 221 GWh/ano para quase 360 GWh/ano. Outros programas, como as auditorias industriais e os incentivos podem também ganhar maior participação e maior potencial, pois o interesse será maior em economizar.</t>
  </si>
  <si>
    <t xml:space="preserve">A opção seria pelos programas mandatórios para o aumento de eficiência de aparelhos de refrigeração e para a construção de novos prédios com mais eficiência energética. Segundo os dados apresentados, são as medidas com maiores potenciais de economia devido, também, ao maior número de participantes, apresentando um potencial de pouco mais de 900 GWh anuais. </t>
  </si>
  <si>
    <t>EXEMPLO 4.2 – Calcule o custo marginal de operação (CMO) para uma usina a carvão com os dados da Tabela 4-2.</t>
  </si>
  <si>
    <t>Tabela 4-5 – Perfil de demanda de eletricidade – EXEMPLO 4.8</t>
  </si>
  <si>
    <t>Tabela 4-6 – Esquemas de tarifas – EXEMPLO 4.10</t>
  </si>
  <si>
    <t>Tabela 4-7 – Gastos com pessoal – EXEMPLO 4.10</t>
  </si>
  <si>
    <t>Tabela 4-8 – Perfil de carga – EXEMPLO 4.10</t>
  </si>
  <si>
    <t>Tarifa simples</t>
  </si>
  <si>
    <r>
      <t>(tNO</t>
    </r>
    <r>
      <rPr>
        <b/>
        <vertAlign val="subscript"/>
        <sz val="11"/>
        <rFont val="Calibri"/>
        <family val="2"/>
        <scheme val="minor"/>
      </rPr>
      <t>X</t>
    </r>
    <r>
      <rPr>
        <b/>
        <sz val="11"/>
        <rFont val="Calibri"/>
        <family val="2"/>
        <scheme val="minor"/>
      </rPr>
      <t>/GWh)</t>
    </r>
  </si>
  <si>
    <t>Tabela 4-12 – Parâmetros de custo marginal para um conjunto de modelos de recursos</t>
  </si>
  <si>
    <r>
      <t>Custo marginal CM</t>
    </r>
    <r>
      <rPr>
        <b/>
        <vertAlign val="subscript"/>
        <sz val="11"/>
        <rFont val="Calibri"/>
        <family val="2"/>
        <scheme val="minor"/>
      </rPr>
      <t>kWh</t>
    </r>
  </si>
  <si>
    <r>
      <t>Custo de SO</t>
    </r>
    <r>
      <rPr>
        <b/>
        <vertAlign val="subscript"/>
        <sz val="11"/>
        <rFont val="Calibri"/>
        <family val="2"/>
        <scheme val="minor"/>
      </rPr>
      <t>2</t>
    </r>
  </si>
  <si>
    <r>
      <t>Custo de NO</t>
    </r>
    <r>
      <rPr>
        <b/>
        <vertAlign val="subscript"/>
        <sz val="11"/>
        <rFont val="Calibri"/>
        <family val="2"/>
        <scheme val="minor"/>
      </rPr>
      <t>X</t>
    </r>
  </si>
  <si>
    <r>
      <t>Emissões (tSO</t>
    </r>
    <r>
      <rPr>
        <b/>
        <vertAlign val="subscript"/>
        <sz val="11"/>
        <rFont val="Calibri"/>
        <family val="2"/>
        <scheme val="minor"/>
      </rPr>
      <t>2</t>
    </r>
    <r>
      <rPr>
        <b/>
        <sz val="11"/>
        <rFont val="Calibri"/>
        <family val="2"/>
        <scheme val="minor"/>
      </rPr>
      <t>/GWh)</t>
    </r>
  </si>
  <si>
    <t>Tabela 4-11 – Conjunto de exemplos de recursos e seus parâmetros</t>
  </si>
  <si>
    <r>
      <t>$/tSO</t>
    </r>
    <r>
      <rPr>
        <b/>
        <vertAlign val="subscript"/>
        <sz val="11"/>
        <rFont val="Calibri"/>
        <family val="2"/>
        <scheme val="minor"/>
      </rPr>
      <t>2</t>
    </r>
  </si>
  <si>
    <r>
      <t>$/tNO</t>
    </r>
    <r>
      <rPr>
        <b/>
        <vertAlign val="subscript"/>
        <sz val="11"/>
        <rFont val="Calibri"/>
        <family val="2"/>
        <scheme val="minor"/>
      </rPr>
      <t>X</t>
    </r>
  </si>
  <si>
    <t>Tabela 4-4 – Recursos de oferta – EXEMPLO 4.7</t>
  </si>
  <si>
    <t>Tabela 4-3 – Dados – EXEMPLO 4.4</t>
  </si>
  <si>
    <r>
      <rPr>
        <b/>
        <sz val="11"/>
        <rFont val="Calibri"/>
        <family val="2"/>
        <scheme val="minor"/>
      </rPr>
      <t>EXERCÍCIO 2.8 – Considere as séries temporais de consumo de petróleo no Brasil indicadas na Tabela 2-26 e elabore um modelo de regressão para estimar o consumo de petróleo (10</t>
    </r>
    <r>
      <rPr>
        <b/>
        <vertAlign val="superscript"/>
        <sz val="11"/>
        <rFont val="Calibri"/>
        <family val="2"/>
        <scheme val="minor"/>
      </rPr>
      <t>3</t>
    </r>
    <r>
      <rPr>
        <b/>
        <sz val="11"/>
        <rFont val="Calibri"/>
        <family val="2"/>
        <scheme val="minor"/>
      </rPr>
      <t xml:space="preserve"> TEP/dia) em função da população, PIB e frota de veículos.</t>
    </r>
  </si>
  <si>
    <r>
      <t>Estime o consumo de eletricidade no ano projetado (X+10) para um cenário de eficiência congelada, supondo o produto M×I expresso em kWh/m</t>
    </r>
    <r>
      <rPr>
        <b/>
        <vertAlign val="superscript"/>
        <sz val="11"/>
        <rFont val="Calibri"/>
        <family val="2"/>
        <scheme val="minor"/>
      </rPr>
      <t>2</t>
    </r>
    <r>
      <rPr>
        <b/>
        <sz val="11"/>
        <rFont val="Calibri"/>
        <family val="2"/>
        <scheme val="minor"/>
      </rPr>
      <t xml:space="preserve"> e Pij conforme dados da Tabela 2-17. Utilize a planilha do exemplo no endereço de internet indicado e consulte os resultados.</t>
    </r>
  </si>
  <si>
    <t>EXEMPLO 4.1 – Um plano de expansão para o período 2015-2025 em uma PCH inclui investimentos em aumento de capacidade instalada de $7 milhões em 2017, $2 milhões em 2019 e $1 milhão em 2020. O custo anual de operação durante o período é constante e de R$1 milhão. Qual é o valor presente dos rendimentos requeridos para o plano? Use uma taxa de desconto anual de 6% ao ano e suponha R0=0.</t>
  </si>
  <si>
    <t>Tabela 4-2 – Dados – EXEMPLO 4.2</t>
  </si>
  <si>
    <r>
      <t>EXEMPLO 4.3 – Calcular os valores do CMO para as outras fontes do EXEMPLO 4.2 e o CMO</t>
    </r>
    <r>
      <rPr>
        <b/>
        <vertAlign val="subscript"/>
        <sz val="11"/>
        <rFont val="Calibri"/>
        <family val="2"/>
        <scheme val="minor"/>
      </rPr>
      <t>ex-ante</t>
    </r>
    <r>
      <rPr>
        <b/>
        <sz val="11"/>
        <rFont val="Calibri"/>
        <family val="2"/>
        <scheme val="minor"/>
      </rPr>
      <t xml:space="preserve"> sistema elétrico. Admitir que as usinas que operam na ponta funcionam 1.200 horas/ano; as usinas intermediárias operam, ainda, 3.000 horas/ano adicionais; as usinas que operam na base funcionam 8.760 horas/ano e as intermitentes operam 800 horas durante cada um dos três períodos de despacho. Admitir que para o cálculo do CMO do sistema elétrico serão desconsideradas as restrições de transmissão, o custo de déficit e que todas as fontes são necessárias para atender à demanda. Lembre-se de que a fonte marginal durante um período de despacho é aquela cujo custo de energia é maior.</t>
    </r>
  </si>
  <si>
    <t>h oper.</t>
  </si>
  <si>
    <t>Sistema elétrico</t>
  </si>
  <si>
    <t>O CMO é fruto da cadeia de modelos NEWAVE e DECOMP, considerando, dentre muitas restrições, as de transmissão. Ele representa o custo variável do recurso de geração mais caro despachado, caso este ainda tenha disponibilidade para suprir o próximo incremento de carga. CMO ex-ante significa custo variável antes da operação.</t>
  </si>
  <si>
    <t>Primeiro é necessário trazer todos os custos para a mesma base de tempo (mesmo ano):</t>
  </si>
  <si>
    <t>Investimento no valor presente:</t>
  </si>
  <si>
    <t>Custo fixo no valor presente:</t>
  </si>
  <si>
    <t>Os custos fixos iniciam após a construção e duram 20 anos. Assim, primeiro iremos trazer os custos ao longo desses 20 anos para o ano de início de operação e depois para o ano 0 para somar com os investimentos:</t>
  </si>
  <si>
    <t>EXEMPLO 4.4 – Calcular o CME total e seu valor anualizado para uma usina eólica de geração de eletricidade a partir dos dados da Tabela 4-3 a seguir. O tempo de construção indica o tempo para se construir a planta e supõe-se que o custo total é distribuído uniformemente durante esse período. Use uma taxa de desconto de 6% ao ano e suponha que qualquer planta seria construída para começar a operar no mesmo ano (cinco anos a partir do presente). Em outras palavras, a usina eólica começa a ser construída dois anos antes da conclusão da usina de carvão, por exemplo.</t>
  </si>
  <si>
    <t>Valor total (invest. + fixo) = CME =</t>
  </si>
  <si>
    <r>
      <t>Resolução alternativa por fluxo de caixa, considerando a forma padrão da matemática financeira.
Torna o exercício mais flexível para simulações, por exemplo: com a entrada em operação de unidades de geração, que compõem as usinas em tempos diferentes (</t>
    </r>
    <r>
      <rPr>
        <i/>
        <sz val="11"/>
        <rFont val="Calibri"/>
        <family val="2"/>
        <scheme val="minor"/>
      </rPr>
      <t>unit commitement</t>
    </r>
    <r>
      <rPr>
        <sz val="11"/>
        <rFont val="Calibri"/>
        <family val="2"/>
        <scheme val="minor"/>
      </rPr>
      <t>).</t>
    </r>
  </si>
  <si>
    <t>EXEMPLO 4.5 – Calcular o CME e seu valor anualizado para as outras fontes da Tabela 4-3 e o CME do sistema elétrico (consultar solução nas planilhas disponíveis no endereço da internet).</t>
  </si>
  <si>
    <t>Da mesma forma que no exercício anterior, como base de cálculo será usado o ano 0.</t>
  </si>
  <si>
    <t>Os custos fixos iniciam após a construção e duram 50 anos. Dessa forma, primeiro iremos trazer os custos ao longo desses 50 anos para o ano de início de operação e depois para o ano 0 para somar com os investimentos:</t>
  </si>
  <si>
    <t>VP do custo fixo ano 5 =</t>
  </si>
  <si>
    <t>VP do custo fixo ano 0 =</t>
  </si>
  <si>
    <t>Os custos fixos iniciam no ano 5 e duram 20 anos. Dessa forma, primeiro iremos trazer os custos ao longo desses 20 anos para o ano 5 e depois para o ano inicial para somar com os investimentos.</t>
  </si>
  <si>
    <t xml:space="preserve"> O CME deve ser obtido considerando o investimento e o custo fixo de O&amp;M desde o ano 0, perpassando os cinco anos de construção, mantendo-se a análise dos CME de cada fonte, tendo o mesmo início de horizonte.</t>
  </si>
  <si>
    <t xml:space="preserve"> O CME deve ser obtido considerando o investimento e o custo fixo de O&amp;M desde o ano 0, mantendo-se a análise dos CME de cada fonte tendo o mesmo início de horizonte.</t>
  </si>
  <si>
    <t>Os custos fixos iniciam após a construção e duram 30 anos. Dessa forma, primeiro iremos trazer os custos ao longo desses 30 anos para o ano de início de operação e depois para o ano 0 para somar com os investimentos:</t>
  </si>
  <si>
    <t>O CME deve ser obtido considerando o investimento e o custo fixo de O&amp;M desde o ano 0, mantendo-se a análise dos CME de cada fonte tendo o mesmo início de horizonte.</t>
  </si>
  <si>
    <t>Os custos fixos iniciam após a construção e duram 30 anos. Dessa forma, primeiro iremos trazer os custos ao longo desses 30 anos para o ano de início de operação e depois para o ano 0 para somar com os investimentos.</t>
  </si>
  <si>
    <t>Eletricidade produzida</t>
  </si>
  <si>
    <r>
      <t>Variação do CM</t>
    </r>
    <r>
      <rPr>
        <vertAlign val="subscript"/>
        <sz val="11"/>
        <rFont val="Calibri"/>
        <family val="2"/>
        <scheme val="minor"/>
      </rPr>
      <t xml:space="preserve">kWh </t>
    </r>
    <r>
      <rPr>
        <sz val="11"/>
        <rFont val="Calibri"/>
        <scheme val="minor"/>
      </rPr>
      <t>considerando expansão</t>
    </r>
  </si>
  <si>
    <r>
      <t>EXEMPLO 4.7 – Calcule o CM</t>
    </r>
    <r>
      <rPr>
        <b/>
        <vertAlign val="subscript"/>
        <sz val="11"/>
        <rFont val="Calibri"/>
        <family val="2"/>
        <scheme val="minor"/>
      </rPr>
      <t>kW</t>
    </r>
    <r>
      <rPr>
        <b/>
        <sz val="11"/>
        <rFont val="Calibri"/>
        <family val="2"/>
        <scheme val="minor"/>
      </rPr>
      <t xml:space="preserve"> (anualizado) e o CM</t>
    </r>
    <r>
      <rPr>
        <b/>
        <vertAlign val="subscript"/>
        <sz val="11"/>
        <rFont val="Calibri"/>
        <family val="2"/>
        <scheme val="minor"/>
      </rPr>
      <t>kWh</t>
    </r>
    <r>
      <rPr>
        <b/>
        <sz val="11"/>
        <rFont val="Calibri"/>
        <family val="2"/>
        <scheme val="minor"/>
      </rPr>
      <t xml:space="preserve"> de cada usina com os custos e os fatores de capacidade mostrados na Tabela 4-4. Use a Eq. (4.15) para calcular o CME anualizado do sistema de expansão (usinas novas) e a variação do CM</t>
    </r>
    <r>
      <rPr>
        <b/>
        <vertAlign val="subscript"/>
        <sz val="11"/>
        <rFont val="Calibri"/>
        <family val="2"/>
        <scheme val="minor"/>
      </rPr>
      <t>kWh</t>
    </r>
    <r>
      <rPr>
        <b/>
        <sz val="11"/>
        <rFont val="Calibri"/>
        <family val="2"/>
        <scheme val="minor"/>
      </rPr>
      <t xml:space="preserve"> considerando a expansão. Considere os dados de vida útil dos empreendimentos conforme a Tabela 4-3 (do EXEMPLO 4.4) e a taxa de 6% a.a.</t>
    </r>
  </si>
  <si>
    <t>Considerando os dados de vida útil dos empreendimentos conforme a Tabela 4-3 (do EXEMPLO 4.4) e a taxa de 6% a.a.:</t>
  </si>
  <si>
    <t>Intervalo t [h]</t>
  </si>
  <si>
    <t>EXEMPLO 4.8 – Qual é o fator de carga para um uso final que tem um perfil diário conforme a Tabela 4-5 indicada a seguir durante um ano? Qual é a energia total utilizada no ano?</t>
  </si>
  <si>
    <t>Fator Carga (FC) =</t>
  </si>
  <si>
    <t>EXEMPLO 4.9 – Qual é o fator de carga para a demanda de eletricidade descrita pela curva de duração de carga da Figura 4-5 (lado esquerdo)? Qual é o consumo anual de energia?</t>
  </si>
  <si>
    <t>Retângulo (Base)</t>
  </si>
  <si>
    <t>A fábrica opera em dois períodos de 8 horas de trabalho/dia e tem o staff com os salários de acordo com seus períodos de trabalho indicados na Tabela 4-7. Considere que a fábrica tenha um perfil de carga diário dado pela Tabela 4-8. As letras D e C referem-se às tarifas de demanda e de consumo para os esquemas de tarifa B e C.</t>
  </si>
  <si>
    <t>Primeiro período nº</t>
  </si>
  <si>
    <t>Segundo período nº</t>
  </si>
  <si>
    <t>(dia sem trabalho)</t>
  </si>
  <si>
    <t>Onde Pm é o preço médio da energia; Dp é a demanda medida no horário de ponta (8 às 18h); Dfp é a demanda medida no horário fora de ponta; TDp é a tarifa de demanda no horário de ponta; TDfp é a tarifa de demanda no horário fora de ponta; TCp é a tarifa de consumo no horário de ponta; TCfp é a tarifa de consumo fora do horário de ponta; FCp é o fator de carga no horário de ponta; FCfp é o fator de carga no horário fora de ponta; hp é o número de horas no mês no período de ponta e hfp é o número de horas no mês no período fora de ponta (consultar solução no endereço da internet ). Considere FCp=0,80 e FCfp=0,45.</t>
  </si>
  <si>
    <t>No exercício, para os primeiros 1MWh, a tarifa $650/MWh; para o consumo excendente até 1,5MWh, a tarifa de $750/MWh; e para o restante do consumo, $1000/MWh.</t>
  </si>
  <si>
    <t>EXEMPLO 4.10 – As tarifas de eletricidade são instrumentos importantes na mudança do perfil dos consumidores de modo a economizar energia e capacidade de pico. Considere o caso de uma fábrica têxtil que possa escolher entre diferentes esquemas de tarifas. Estime o custo de produção unitário considerando somente custos de mão de obra e energia. Faça as estimativas usando os três tipos de tarifas. Suponha um regime de trabalho de 20 dias/mês e uma produção de 1.000 unidades por período (primeiro e segundo período do dia). Use os dados contidos nas tabelas a seguir.</t>
  </si>
  <si>
    <t>C – Esquema horo-sazonal</t>
  </si>
  <si>
    <t>Que tarifa elétrica você sugere que essa fábrica deveria ter para baixar seu custo de energia? Isso baixa seu custo total de produção? Refaça o cálculo do custo de produção unitário considerando um preço médio de energia em função do fator de carga e outras variáveis conforme as relações a seguir:</t>
  </si>
  <si>
    <t>A melhor tarifa a ser adotada é a horo-sazonal, que possibilitará menores despesas com energia, conforme abaixo:</t>
  </si>
  <si>
    <t xml:space="preserve">08:00 – 12:00 </t>
  </si>
  <si>
    <t xml:space="preserve">12:00 – 14:00 </t>
  </si>
  <si>
    <t xml:space="preserve">14:00 – 18:00 </t>
  </si>
  <si>
    <t xml:space="preserve">18:00 – 24:00 </t>
  </si>
  <si>
    <t xml:space="preserve">24:00 – 08:00 </t>
  </si>
  <si>
    <t>Consumo mensal</t>
  </si>
  <si>
    <t>Tarifa horo-sazonal $/MWh</t>
  </si>
  <si>
    <t>&lt;- A tarifa horo-sazonal é a de menor custo para a empresa.</t>
  </si>
  <si>
    <t>Tarifa horo-sazonal</t>
  </si>
  <si>
    <t>Sob a tarifa simples</t>
  </si>
  <si>
    <t>Sob a tarifa em bloco</t>
  </si>
  <si>
    <t>Sob a tarifa horo-sazonal</t>
  </si>
  <si>
    <t>&lt;- Queda no custo unitário de produção devido à escolha da menor tarifa</t>
  </si>
  <si>
    <t>Custo /un.</t>
  </si>
  <si>
    <t>EXEMPLO 4.11 – A Companhia Elétrica Brakimpur (BECO), uma companhia de distribuição, tem perdas de 20% anuais na sua rede de T&amp;D de 230V. As perdas dos transformadores são estimadas em 4% ao ano. O sistema de distribuição existente tem Rf/Z de 0,9, um fator de potência também de 0,9 e uma queda de tensão de 30%, de 230V para 160V. A Beco investiu $1 milhão para melhorar o sistema, aumentando o fator de potência para 0,95 e diminuindo o Rf/Z para 0,85; com isso, reduziu as perdas de transformador para 3% e a queda de tensão para 12% em grande parte pelo aumento do número de transformadores e a sua localização perto das cargas. A redução das perdas levou a Beco a aumentar as vendas, enquanto, junto a um programa de gerenciamento de carga, o fator de carga passou de 0,54 para 0,72 e a oferta de pico do sistema de geração permaneceu a mesma. Qual é a taxa de perda anual depois do programa de melhoria?</t>
  </si>
  <si>
    <r>
      <t xml:space="preserve">   - Perda total (F</t>
    </r>
    <r>
      <rPr>
        <vertAlign val="subscript"/>
        <sz val="11"/>
        <rFont val="Calibri"/>
        <family val="2"/>
        <scheme val="minor"/>
      </rPr>
      <t>p</t>
    </r>
    <r>
      <rPr>
        <sz val="11"/>
        <rFont val="Calibri"/>
        <scheme val="minor"/>
      </rPr>
      <t>)</t>
    </r>
  </si>
  <si>
    <r>
      <t xml:space="preserve">   - Perda transform. (F</t>
    </r>
    <r>
      <rPr>
        <vertAlign val="subscript"/>
        <sz val="11"/>
        <rFont val="Calibri"/>
        <family val="2"/>
        <scheme val="minor"/>
      </rPr>
      <t>tl</t>
    </r>
    <r>
      <rPr>
        <sz val="11"/>
        <rFont val="Calibri"/>
        <scheme val="minor"/>
      </rPr>
      <t>)</t>
    </r>
  </si>
  <si>
    <t xml:space="preserve">   - Perda condutores</t>
  </si>
  <si>
    <t>Perdas de pico após a melhoria:</t>
  </si>
  <si>
    <t xml:space="preserve">Assim, as perdas dos condutores são 2/3 da perda de pico, ou seja, </t>
  </si>
  <si>
    <t>Assim, o novo fator de perdas no transformador com o investimento:</t>
  </si>
  <si>
    <t xml:space="preserve"> - Perda transform. (Ftl)</t>
  </si>
  <si>
    <r>
      <t xml:space="preserve"> - Perda total (F</t>
    </r>
    <r>
      <rPr>
        <vertAlign val="subscript"/>
        <sz val="11"/>
        <rFont val="Calibri"/>
        <family val="2"/>
        <scheme val="minor"/>
      </rPr>
      <t>p</t>
    </r>
    <r>
      <rPr>
        <sz val="11"/>
        <rFont val="Calibri"/>
        <scheme val="minor"/>
      </rPr>
      <t>)</t>
    </r>
  </si>
  <si>
    <t>EXEMPLO 4.12 – Qual é o custo marginal da eletricidade economizada pelas medidas de redução das perdas do EXEMPLO 4.11? Assuma uma taxa de desconto de 5% e uma vida útil de 25 anos (FRC=0,07). A oferta de pico do sistema de geração é de 10 MW.</t>
  </si>
  <si>
    <t>Oferta pico (MW)=</t>
  </si>
  <si>
    <t>Antes do investimento, a venda total de energia era de:</t>
  </si>
  <si>
    <t>Após o investimento, a venda total de energia foi de:</t>
  </si>
  <si>
    <t>Considerando os ganhos devido ao investimento no sistema e ao gerenciamento de carga, a BECO aumentou as vendas de 37,84 GWh para 57,62 GWh, ou seja, um ganho de 19,78 GWh.</t>
  </si>
  <si>
    <t>Custo da energia "ganha":</t>
  </si>
  <si>
    <t>Caso comparemos o ganho com o investimento, considerando que o gerenciamento de carga seria realizado de qualquer forma, ou seja, mesmo sem o investimento no sistema a BECO iria implantar o plano para gerenciar a carga do sistema.</t>
  </si>
  <si>
    <t>Considerando os ganhos do gerenciamento de carga somente (FC=0,72), a BECO aumentaria as vendas de 50,46 GWh para 57,62 GWh após o investimento, ou seja, um ganho de 7,16 GWh.</t>
  </si>
  <si>
    <r>
      <t>EXEMPLO 4.13 – Qual é o CAE (NO</t>
    </r>
    <r>
      <rPr>
        <b/>
        <vertAlign val="subscript"/>
        <sz val="11"/>
        <rFont val="Calibri"/>
        <family val="2"/>
        <scheme val="minor"/>
      </rPr>
      <t>X</t>
    </r>
    <r>
      <rPr>
        <b/>
        <sz val="11"/>
        <rFont val="Calibri"/>
        <family val="2"/>
        <scheme val="minor"/>
      </rPr>
      <t>) para as seguintes situações:</t>
    </r>
  </si>
  <si>
    <r>
      <t xml:space="preserve">    </t>
    </r>
    <r>
      <rPr>
        <b/>
        <sz val="11"/>
        <rFont val="Calibri"/>
        <family val="2"/>
        <scheme val="minor"/>
      </rPr>
      <t xml:space="preserve"> • Uma nova usina a gás substituindo uma usina a carvão existente?
     • Uma usina eólica substituindo uma usina a carvão?
     • Uma usina eólica substituindo uma usina a gás?
Use os dados da tabela a seguir:</t>
    </r>
  </si>
  <si>
    <t>Tabela 4-10 - Dados - EXEMPLO 4.13</t>
  </si>
  <si>
    <r>
      <t>EXEMPLO 4.14 – Reproduza os valores CAE de SO</t>
    </r>
    <r>
      <rPr>
        <b/>
        <vertAlign val="subscript"/>
        <sz val="11"/>
        <rFont val="Calibri"/>
        <family val="2"/>
        <scheme val="minor"/>
      </rPr>
      <t>2</t>
    </r>
    <r>
      <rPr>
        <b/>
        <sz val="11"/>
        <rFont val="Calibri"/>
        <family val="2"/>
        <scheme val="minor"/>
      </rPr>
      <t xml:space="preserve"> e NOx de cada um dos recursos novos e recuperados (usina de carvão recondicionada) indicados na Tabela 4-12. Utilize a (Eq. 4.53) para o cálculo dos custos de emissões evitadas e use como referência:
• Usina nova a carvão;
• Usina a carvão existente;
• Usina a gás existente.</t>
    </r>
  </si>
  <si>
    <t>Será necessário empregar os dados da Tabela 4-11:</t>
  </si>
  <si>
    <t>EXEMPLO 4.15 – Recalcule os custos marginais para cada usina mostrada na Tabela 4-11, usando uma carga de emissão de:</t>
  </si>
  <si>
    <r>
      <t>• Dois níveis de SO</t>
    </r>
    <r>
      <rPr>
        <b/>
        <vertAlign val="subscript"/>
        <sz val="11"/>
        <rFont val="Calibri"/>
        <family val="2"/>
        <scheme val="minor"/>
      </rPr>
      <t>2</t>
    </r>
    <r>
      <rPr>
        <b/>
        <sz val="11"/>
        <rFont val="Calibri"/>
        <family val="2"/>
        <scheme val="minor"/>
      </rPr>
      <t xml:space="preserve"> ($600/tSO</t>
    </r>
    <r>
      <rPr>
        <b/>
        <vertAlign val="subscript"/>
        <sz val="11"/>
        <rFont val="Calibri"/>
        <family val="2"/>
        <scheme val="minor"/>
      </rPr>
      <t>2</t>
    </r>
    <r>
      <rPr>
        <b/>
        <sz val="11"/>
        <rFont val="Calibri"/>
        <family val="2"/>
        <scheme val="minor"/>
      </rPr>
      <t xml:space="preserve"> e $4500/tSO</t>
    </r>
    <r>
      <rPr>
        <b/>
        <vertAlign val="subscript"/>
        <sz val="11"/>
        <rFont val="Calibri"/>
        <family val="2"/>
        <scheme val="minor"/>
      </rPr>
      <t>2</t>
    </r>
    <r>
      <rPr>
        <b/>
        <sz val="11"/>
        <rFont val="Calibri"/>
        <family val="2"/>
        <scheme val="minor"/>
      </rPr>
      <t>);
• Dois níveis de NOx ($600/tNO</t>
    </r>
    <r>
      <rPr>
        <b/>
        <vertAlign val="subscript"/>
        <sz val="11"/>
        <rFont val="Calibri"/>
        <family val="2"/>
        <scheme val="minor"/>
      </rPr>
      <t>X</t>
    </r>
    <r>
      <rPr>
        <b/>
        <sz val="11"/>
        <rFont val="Calibri"/>
        <family val="2"/>
        <scheme val="minor"/>
      </rPr>
      <t xml:space="preserve"> e $4500/tNO</t>
    </r>
    <r>
      <rPr>
        <b/>
        <vertAlign val="subscript"/>
        <sz val="11"/>
        <rFont val="Calibri"/>
        <family val="2"/>
        <scheme val="minor"/>
      </rPr>
      <t>X</t>
    </r>
    <r>
      <rPr>
        <b/>
        <sz val="11"/>
        <rFont val="Calibri"/>
        <family val="2"/>
        <scheme val="minor"/>
      </rPr>
      <t>);
• Um nível combinado de SO</t>
    </r>
    <r>
      <rPr>
        <b/>
        <vertAlign val="subscript"/>
        <sz val="11"/>
        <rFont val="Calibri"/>
        <family val="2"/>
        <scheme val="minor"/>
      </rPr>
      <t>2</t>
    </r>
    <r>
      <rPr>
        <b/>
        <sz val="11"/>
        <rFont val="Calibri"/>
        <family val="2"/>
        <scheme val="minor"/>
      </rPr>
      <t xml:space="preserve"> e NO</t>
    </r>
    <r>
      <rPr>
        <b/>
        <vertAlign val="subscript"/>
        <sz val="11"/>
        <rFont val="Calibri"/>
        <family val="2"/>
        <scheme val="minor"/>
      </rPr>
      <t xml:space="preserve">X </t>
    </r>
    <r>
      <rPr>
        <b/>
        <sz val="11"/>
        <rFont val="Calibri"/>
        <family val="2"/>
        <scheme val="minor"/>
      </rPr>
      <t>($3000/tSO</t>
    </r>
    <r>
      <rPr>
        <b/>
        <vertAlign val="subscript"/>
        <sz val="11"/>
        <rFont val="Calibri"/>
        <family val="2"/>
        <scheme val="minor"/>
      </rPr>
      <t>2</t>
    </r>
    <r>
      <rPr>
        <b/>
        <sz val="11"/>
        <rFont val="Calibri"/>
        <family val="2"/>
        <scheme val="minor"/>
      </rPr>
      <t xml:space="preserve"> e $2000/tNO</t>
    </r>
    <r>
      <rPr>
        <b/>
        <vertAlign val="subscript"/>
        <sz val="11"/>
        <rFont val="Calibri"/>
        <family val="2"/>
        <scheme val="minor"/>
      </rPr>
      <t>X</t>
    </r>
    <r>
      <rPr>
        <b/>
        <sz val="11"/>
        <rFont val="Calibri"/>
        <family val="2"/>
        <scheme val="minor"/>
      </rPr>
      <t>)</t>
    </r>
  </si>
  <si>
    <r>
      <rPr>
        <b/>
        <sz val="11"/>
        <rFont val="Calibri"/>
        <family val="2"/>
        <scheme val="minor"/>
      </rPr>
      <t>EXEMPLO 4.16 – Suponha que a demanda de pico projetada de 2.600 MW não possua uma reserva marginal suficiente e que 10% a mais deva ser fornecido para manter adequada a segurança do sistema. Qual é a capacidade a mínimo custo adicional para atingir esse requisito?</t>
    </r>
    <r>
      <rPr>
        <sz val="11"/>
        <rFont val="Calibri"/>
        <scheme val="minor"/>
      </rPr>
      <t xml:space="preserve">
</t>
    </r>
  </si>
  <si>
    <t>Será necessário uma nova capacidade com um fator baixo de capacidade e, ainda mais importante, baixo custo por kW. Combustível e outros custos variáveis e custos de emissões são menos importantes porque a capacidade não será usada com frequência. A opção com o menor custo de capacidade é a de gerenciamento de carga de 100 MW. Embora essa opção consuma energia, a produção de energia líquida total ainda atinge a demanda anual. O adicional de 40 a 140 MW de capacidade seria fornecido por turbinas de combustão mais caras. Embora essas unidades produzam eletricidade relativamente mais cara a baixos fatores de capacidade, elas são mais baratas que outras usinas com custos de capacidade mais altos, como mostrado na Figura 4-3. A taxa de emissão também pode ser relativamente alta, mas somente por poucas horas por ano. No entanto, se episódios de extrema poluição durante tempos de demanda elétrica de pico são uma importante restrição ambiental, tais usinas de pico deveriam ser consideradas com cautela.</t>
  </si>
  <si>
    <t>Lúmens/ Watts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</si>
</sst>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8" formatCode="&quot;R$&quot;#,##0.00;[Red]\-&quot;R$&quot;#,##0.00"/>
    <numFmt numFmtId="43" formatCode="_-* #,##0.00_-;\-* #,##0.00_-;_-* &quot;-&quot;??_-;_-@_-"/>
    <numFmt numFmtId="164" formatCode="&quot;R$&quot;\ #,##0;[Red]\-&quot;R$&quot;\ #,##0"/>
    <numFmt numFmtId="165" formatCode="&quot;R$&quot;\ #,##0.00;[Red]\-&quot;R$&quot;\ #,##0.00"/>
    <numFmt numFmtId="166" formatCode="_-&quot;R$&quot;\ * #,##0_-;\-&quot;R$&quot;\ * #,##0_-;_-&quot;R$&quot;\ * &quot;-&quot;_-;_-@_-"/>
    <numFmt numFmtId="167" formatCode="_-&quot;R$&quot;\ * #,##0.00_-;\-&quot;R$&quot;\ * #,##0.00_-;_-&quot;R$&quot;\ * &quot;-&quot;??_-;_-@_-"/>
    <numFmt numFmtId="168" formatCode="&quot;R$&quot;#,##0.00_);[Red]\(&quot;R$&quot;#,##0.00\)"/>
    <numFmt numFmtId="169" formatCode="_(&quot;R$&quot;* #,##0.00_);_(&quot;R$&quot;* \(#,##0.00\);_(&quot;R$&quot;* &quot;-&quot;??_);_(@_)"/>
    <numFmt numFmtId="170" formatCode="_(* #,##0.00_);_(* \(#,##0.00\);_(* &quot;-&quot;??_);_(@_)"/>
    <numFmt numFmtId="171" formatCode="0.000E+00"/>
    <numFmt numFmtId="172" formatCode="0.0000"/>
    <numFmt numFmtId="173" formatCode="0.0"/>
    <numFmt numFmtId="174" formatCode="0.0%"/>
    <numFmt numFmtId="175" formatCode="#,##0_ ;\-#,##0\ "/>
    <numFmt numFmtId="176" formatCode="#,##0.0_ ;\-#,##0.0\ "/>
    <numFmt numFmtId="177" formatCode="#,##0.0"/>
    <numFmt numFmtId="178" formatCode="#,##0.00_ ;\-#,##0.00\ "/>
    <numFmt numFmtId="179" formatCode="_-[$$-409]* #,##0.00_ ;_-[$$-409]* \-#,##0.00\ ;_-[$$-409]* &quot;-&quot;??_ ;_-@_ "/>
    <numFmt numFmtId="180" formatCode="_-[$$-540A]* #,##0.00_ ;_-[$$-540A]* \-#,##0.00\ ;_-[$$-540A]* &quot;-&quot;??_ ;_-@_ "/>
    <numFmt numFmtId="181" formatCode="0.000"/>
    <numFmt numFmtId="182" formatCode="&quot;R$&quot;#,##0.00;[Red]&quot;R$&quot;#,##0.00"/>
    <numFmt numFmtId="183" formatCode="0.000%"/>
    <numFmt numFmtId="184" formatCode="0.000000"/>
    <numFmt numFmtId="185" formatCode="_-* #,##0.0000_-;\-* #,##0.0000_-;_-* &quot;-&quot;??_-;_-@_-"/>
    <numFmt numFmtId="186" formatCode="_-* #,##0.0_-;\-* #,##0.0_-;_-* &quot;-&quot;??_-;_-@_-"/>
    <numFmt numFmtId="187" formatCode="0.00000"/>
    <numFmt numFmtId="188" formatCode="_ * #,##0.00_)\ [$$-540A]_ ;_ * \(#,##0.00\)\ [$$-540A]_ ;_ * &quot;-&quot;??_)\ [$$-540A]_ ;_ @_ "/>
    <numFmt numFmtId="189" formatCode="_-* #,##0_-;\-* #,##0_-;_-* &quot;-&quot;??_-;_-@_-"/>
    <numFmt numFmtId="190" formatCode="_-* #,##0.000_-;\-* #,##0.000_-;_-* &quot;-&quot;???_-;_-@_-"/>
    <numFmt numFmtId="191" formatCode="0.000000000"/>
  </numFmts>
  <fonts count="40">
    <font>
      <sz val="11"/>
      <color theme="1"/>
      <name val="Calibri"/>
      <family val="2"/>
      <scheme val="minor"/>
    </font>
    <font>
      <sz val="11"/>
      <color theme="1"/>
      <name val="Calibri"/>
      <family val="2"/>
      <scheme val="minor"/>
    </font>
    <font>
      <b/>
      <sz val="28"/>
      <name val="Calibri"/>
      <family val="2"/>
      <scheme val="minor"/>
    </font>
    <font>
      <b/>
      <sz val="14"/>
      <name val="Calibri"/>
      <family val="2"/>
    </font>
    <font>
      <u/>
      <sz val="11"/>
      <color theme="10"/>
      <name val="Calibri"/>
      <family val="2"/>
      <scheme val="minor"/>
    </font>
    <font>
      <u/>
      <sz val="11"/>
      <color theme="11"/>
      <name val="Calibri"/>
      <family val="2"/>
      <scheme val="minor"/>
    </font>
    <font>
      <sz val="11"/>
      <name val="Calibri"/>
      <scheme val="minor"/>
    </font>
    <font>
      <sz val="9"/>
      <name val="Times New Roman"/>
    </font>
    <font>
      <b/>
      <strike/>
      <sz val="11"/>
      <name val="Calibri"/>
      <scheme val="minor"/>
    </font>
    <font>
      <strike/>
      <sz val="11"/>
      <name val="Calibri"/>
      <scheme val="minor"/>
    </font>
    <font>
      <b/>
      <sz val="11"/>
      <name val="Calibri"/>
    </font>
    <font>
      <sz val="11"/>
      <name val="Calibri"/>
    </font>
    <font>
      <b/>
      <sz val="20"/>
      <name val="Calibri"/>
    </font>
    <font>
      <b/>
      <sz val="16"/>
      <name val="Calibri"/>
    </font>
    <font>
      <b/>
      <sz val="28"/>
      <name val="Calibri"/>
    </font>
    <font>
      <vertAlign val="superscript"/>
      <sz val="11"/>
      <name val="Calibri"/>
    </font>
    <font>
      <b/>
      <sz val="20"/>
      <name val="Calibri"/>
      <family val="2"/>
      <scheme val="minor"/>
    </font>
    <font>
      <b/>
      <sz val="16"/>
      <name val="Calibri"/>
      <family val="2"/>
      <scheme val="minor"/>
    </font>
    <font>
      <b/>
      <sz val="11"/>
      <name val="Calibri"/>
      <family val="2"/>
      <scheme val="minor"/>
    </font>
    <font>
      <b/>
      <vertAlign val="superscript"/>
      <sz val="11"/>
      <name val="Calibri"/>
      <family val="2"/>
      <scheme val="minor"/>
    </font>
    <font>
      <b/>
      <sz val="8"/>
      <name val="Courier New"/>
      <family val="3"/>
    </font>
    <font>
      <i/>
      <sz val="11"/>
      <name val="Calibri"/>
      <family val="2"/>
      <scheme val="minor"/>
    </font>
    <font>
      <b/>
      <sz val="12"/>
      <name val="Calibri"/>
      <family val="2"/>
      <scheme val="minor"/>
    </font>
    <font>
      <sz val="9"/>
      <name val="Courier New"/>
      <family val="3"/>
    </font>
    <font>
      <sz val="9"/>
      <name val="Calibri"/>
      <family val="2"/>
      <scheme val="minor"/>
    </font>
    <font>
      <b/>
      <sz val="10"/>
      <name val="Courier New"/>
    </font>
    <font>
      <sz val="10"/>
      <name val="Calibri"/>
      <scheme val="minor"/>
    </font>
    <font>
      <sz val="11"/>
      <name val="Courier New"/>
    </font>
    <font>
      <vertAlign val="subscript"/>
      <sz val="11"/>
      <name val="Calibri"/>
      <family val="2"/>
      <scheme val="minor"/>
    </font>
    <font>
      <vertAlign val="subscript"/>
      <sz val="10"/>
      <name val="Calibri"/>
      <scheme val="minor"/>
    </font>
    <font>
      <b/>
      <vertAlign val="subscript"/>
      <sz val="11"/>
      <name val="Calibri"/>
      <family val="2"/>
      <scheme val="minor"/>
    </font>
    <font>
      <sz val="11"/>
      <name val="Calibri"/>
      <family val="2"/>
    </font>
    <font>
      <vertAlign val="subscript"/>
      <sz val="11"/>
      <name val="Calibri"/>
      <family val="2"/>
    </font>
    <font>
      <b/>
      <sz val="11"/>
      <name val="Calibri"/>
      <family val="2"/>
    </font>
    <font>
      <sz val="11"/>
      <name val="Calibri"/>
      <family val="2"/>
      <scheme val="minor"/>
    </font>
    <font>
      <b/>
      <vertAlign val="subscript"/>
      <sz val="11"/>
      <name val="Calibri"/>
      <family val="2"/>
    </font>
    <font>
      <vertAlign val="superscript"/>
      <sz val="11"/>
      <name val="Calibri"/>
      <family val="2"/>
      <scheme val="minor"/>
    </font>
    <font>
      <b/>
      <sz val="14"/>
      <name val="Calibri"/>
      <family val="2"/>
      <scheme val="minor"/>
    </font>
    <font>
      <sz val="10"/>
      <name val="Calibri"/>
      <family val="2"/>
      <scheme val="minor"/>
    </font>
    <font>
      <b/>
      <i/>
      <sz val="11"/>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FF99"/>
        <bgColor indexed="64"/>
      </patternFill>
    </fill>
    <fill>
      <patternFill patternType="solid">
        <fgColor rgb="FF00B0F0"/>
        <bgColor indexed="64"/>
      </patternFill>
    </fill>
    <fill>
      <patternFill patternType="solid">
        <fgColor theme="0"/>
        <bgColor indexed="64"/>
      </patternFill>
    </fill>
    <fill>
      <patternFill patternType="solid">
        <fgColor theme="0"/>
        <bgColor rgb="FF000000"/>
      </patternFill>
    </fill>
    <fill>
      <patternFill patternType="solid">
        <fgColor rgb="FFCCFFCC"/>
        <bgColor indexed="64"/>
      </patternFill>
    </fill>
    <fill>
      <patternFill patternType="solid">
        <fgColor indexed="9"/>
        <bgColor indexed="64"/>
      </patternFill>
    </fill>
    <fill>
      <patternFill patternType="solid">
        <fgColor theme="6" tint="0.79998168889431442"/>
        <bgColor indexed="64"/>
      </patternFill>
    </fill>
    <fill>
      <patternFill patternType="solid">
        <fgColor rgb="FFFFFFFF"/>
        <bgColor rgb="FF000000"/>
      </patternFill>
    </fill>
    <fill>
      <patternFill patternType="solid">
        <fgColor theme="5" tint="0.79998168889431442"/>
        <bgColor indexed="64"/>
      </patternFill>
    </fill>
  </fills>
  <borders count="60">
    <border>
      <left/>
      <right/>
      <top/>
      <bottom/>
      <diagonal/>
    </border>
    <border>
      <left/>
      <right/>
      <top/>
      <bottom style="medium">
        <color auto="1"/>
      </bottom>
      <diagonal/>
    </border>
    <border>
      <left/>
      <right/>
      <top style="medium">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right style="thin">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style="medium">
        <color auto="1"/>
      </right>
      <top/>
      <bottom/>
      <diagonal/>
    </border>
    <border>
      <left style="medium">
        <color auto="1"/>
      </left>
      <right/>
      <top/>
      <bottom/>
      <diagonal/>
    </border>
    <border>
      <left style="medium">
        <color auto="1"/>
      </left>
      <right/>
      <top style="medium">
        <color auto="1"/>
      </top>
      <bottom style="medium">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double">
        <color auto="1"/>
      </left>
      <right/>
      <top style="medium">
        <color auto="1"/>
      </top>
      <bottom style="medium">
        <color auto="1"/>
      </bottom>
      <diagonal/>
    </border>
    <border>
      <left style="double">
        <color auto="1"/>
      </left>
      <right/>
      <top style="medium">
        <color auto="1"/>
      </top>
      <bottom/>
      <diagonal/>
    </border>
    <border>
      <left style="double">
        <color auto="1"/>
      </left>
      <right/>
      <top/>
      <bottom style="medium">
        <color auto="1"/>
      </bottom>
      <diagonal/>
    </border>
    <border>
      <left style="double">
        <color auto="1"/>
      </left>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right/>
      <top style="thin">
        <color auto="1"/>
      </top>
      <bottom style="medium">
        <color auto="1"/>
      </bottom>
      <diagonal/>
    </border>
  </borders>
  <cellStyleXfs count="404">
    <xf numFmtId="0" fontId="0" fillId="0" borderId="0"/>
    <xf numFmtId="9" fontId="1" fillId="0" borderId="0" applyFont="0" applyFill="0" applyBorder="0" applyAlignment="0" applyProtection="0"/>
    <xf numFmtId="43"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9"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494">
    <xf numFmtId="0" fontId="0" fillId="0" borderId="0" xfId="0"/>
    <xf numFmtId="168" fontId="6" fillId="0" borderId="13" xfId="0" applyNumberFormat="1" applyFont="1" applyBorder="1"/>
    <xf numFmtId="0" fontId="6" fillId="0" borderId="0" xfId="0" applyFont="1" applyAlignment="1">
      <alignment horizontal="center"/>
    </xf>
    <xf numFmtId="170" fontId="6" fillId="12" borderId="0" xfId="0" applyNumberFormat="1" applyFont="1" applyFill="1"/>
    <xf numFmtId="168" fontId="6" fillId="12" borderId="0" xfId="0" applyNumberFormat="1" applyFont="1" applyFill="1"/>
    <xf numFmtId="0" fontId="9" fillId="0" borderId="0" xfId="0" applyFont="1" applyAlignment="1">
      <alignment horizontal="center"/>
    </xf>
    <xf numFmtId="165" fontId="9" fillId="0" borderId="0" xfId="0" applyNumberFormat="1" applyFont="1" applyAlignment="1">
      <alignment horizontal="center"/>
    </xf>
    <xf numFmtId="0" fontId="9" fillId="0" borderId="0" xfId="0" applyFont="1"/>
    <xf numFmtId="0" fontId="10" fillId="3" borderId="0" xfId="0" applyFont="1" applyFill="1" applyBorder="1" applyAlignment="1">
      <alignment vertical="center"/>
    </xf>
    <xf numFmtId="0" fontId="11" fillId="3" borderId="0" xfId="0" applyFont="1" applyFill="1" applyBorder="1" applyAlignment="1"/>
    <xf numFmtId="0" fontId="12" fillId="5" borderId="0" xfId="0" applyFont="1" applyFill="1" applyAlignment="1">
      <alignment vertical="center"/>
    </xf>
    <xf numFmtId="0" fontId="13" fillId="5" borderId="0" xfId="0" applyFont="1" applyFill="1"/>
    <xf numFmtId="0" fontId="11" fillId="5" borderId="0" xfId="0" applyFont="1" applyFill="1"/>
    <xf numFmtId="0" fontId="11" fillId="0" borderId="0" xfId="0" applyFont="1"/>
    <xf numFmtId="171" fontId="11" fillId="0" borderId="0" xfId="0" applyNumberFormat="1" applyFont="1"/>
    <xf numFmtId="11" fontId="11" fillId="0" borderId="0" xfId="0" applyNumberFormat="1" applyFont="1"/>
    <xf numFmtId="0" fontId="11" fillId="0" borderId="3" xfId="0" applyFont="1" applyBorder="1" applyAlignment="1">
      <alignment horizontal="center"/>
    </xf>
    <xf numFmtId="0" fontId="11" fillId="0" borderId="0" xfId="0" applyFont="1" applyAlignment="1">
      <alignment horizontal="center"/>
    </xf>
    <xf numFmtId="2" fontId="11" fillId="0" borderId="5" xfId="0" applyNumberFormat="1" applyFont="1" applyBorder="1" applyAlignment="1">
      <alignment horizontal="center"/>
    </xf>
    <xf numFmtId="171" fontId="11" fillId="0" borderId="6" xfId="0" applyNumberFormat="1" applyFont="1" applyBorder="1" applyAlignment="1">
      <alignment horizontal="center"/>
    </xf>
    <xf numFmtId="0" fontId="11" fillId="0" borderId="0" xfId="0" applyFont="1" applyBorder="1" applyAlignment="1">
      <alignment horizontal="center"/>
    </xf>
    <xf numFmtId="0" fontId="11" fillId="0" borderId="7" xfId="0" applyFont="1" applyBorder="1"/>
    <xf numFmtId="0" fontId="11" fillId="0" borderId="8" xfId="0" applyFont="1" applyBorder="1"/>
    <xf numFmtId="2" fontId="11" fillId="0" borderId="3" xfId="0" applyNumberFormat="1" applyFont="1" applyBorder="1" applyAlignment="1">
      <alignment horizontal="center"/>
    </xf>
    <xf numFmtId="2" fontId="11" fillId="0" borderId="4" xfId="0" applyNumberFormat="1" applyFont="1" applyBorder="1" applyAlignment="1">
      <alignment horizontal="center"/>
    </xf>
    <xf numFmtId="171" fontId="11" fillId="0" borderId="0" xfId="0" applyNumberFormat="1" applyFont="1" applyBorder="1" applyAlignment="1">
      <alignment horizontal="center"/>
    </xf>
    <xf numFmtId="2" fontId="11" fillId="0" borderId="0" xfId="0" applyNumberFormat="1" applyFont="1" applyAlignment="1">
      <alignment horizontal="center"/>
    </xf>
    <xf numFmtId="0" fontId="11" fillId="0" borderId="0" xfId="0" applyFont="1" applyBorder="1"/>
    <xf numFmtId="0" fontId="11" fillId="0" borderId="3" xfId="0" applyFont="1" applyBorder="1"/>
    <xf numFmtId="0" fontId="11" fillId="0" borderId="0" xfId="0" applyFont="1" applyAlignment="1">
      <alignment horizontal="left"/>
    </xf>
    <xf numFmtId="9" fontId="11" fillId="0" borderId="0" xfId="0" applyNumberFormat="1" applyFont="1" applyAlignment="1">
      <alignment horizontal="center"/>
    </xf>
    <xf numFmtId="173" fontId="11" fillId="0" borderId="0" xfId="0" applyNumberFormat="1" applyFont="1" applyAlignment="1">
      <alignment horizontal="center"/>
    </xf>
    <xf numFmtId="0" fontId="11" fillId="0" borderId="4" xfId="0" applyFont="1" applyBorder="1"/>
    <xf numFmtId="0" fontId="11" fillId="0" borderId="4" xfId="0" applyFont="1" applyBorder="1" applyAlignment="1">
      <alignment horizontal="center"/>
    </xf>
    <xf numFmtId="9" fontId="11" fillId="0" borderId="4" xfId="0" applyNumberFormat="1" applyFont="1" applyBorder="1" applyAlignment="1">
      <alignment horizontal="center"/>
    </xf>
    <xf numFmtId="0" fontId="11" fillId="0" borderId="0" xfId="0" applyFont="1" applyAlignment="1">
      <alignment horizontal="left" vertical="center" wrapText="1"/>
    </xf>
    <xf numFmtId="0" fontId="11" fillId="0" borderId="0" xfId="0" applyFont="1" applyAlignment="1">
      <alignment horizontal="left" vertical="center"/>
    </xf>
    <xf numFmtId="2" fontId="11" fillId="0" borderId="0" xfId="0" applyNumberFormat="1" applyFont="1" applyAlignment="1">
      <alignment horizontal="center" vertical="center" wrapText="1"/>
    </xf>
    <xf numFmtId="0" fontId="11" fillId="0" borderId="0" xfId="0" applyFont="1" applyAlignment="1">
      <alignment horizontal="center" vertical="center" wrapText="1"/>
    </xf>
    <xf numFmtId="2" fontId="11" fillId="0" borderId="0" xfId="0" applyNumberFormat="1" applyFont="1" applyAlignment="1">
      <alignment horizontal="left" vertical="center" wrapText="1"/>
    </xf>
    <xf numFmtId="0" fontId="11" fillId="0" borderId="0" xfId="0" applyFont="1" applyAlignment="1">
      <alignment vertical="center"/>
    </xf>
    <xf numFmtId="0" fontId="10" fillId="0" borderId="4" xfId="0" applyFont="1" applyBorder="1" applyAlignment="1">
      <alignment horizontal="center" vertical="center"/>
    </xf>
    <xf numFmtId="0" fontId="11" fillId="0" borderId="0" xfId="0" applyFont="1" applyBorder="1" applyAlignment="1">
      <alignment horizontal="justify"/>
    </xf>
    <xf numFmtId="17" fontId="11" fillId="0" borderId="0" xfId="0" applyNumberFormat="1" applyFont="1" applyBorder="1" applyAlignment="1">
      <alignment horizontal="justify"/>
    </xf>
    <xf numFmtId="0" fontId="11" fillId="0" borderId="0" xfId="0" applyFont="1" applyBorder="1" applyAlignment="1"/>
    <xf numFmtId="0" fontId="11" fillId="0" borderId="12" xfId="0" applyFont="1" applyBorder="1" applyAlignment="1"/>
    <xf numFmtId="0" fontId="16" fillId="5" borderId="0" xfId="0" applyFont="1" applyFill="1" applyAlignment="1">
      <alignment vertical="center"/>
    </xf>
    <xf numFmtId="0" fontId="17" fillId="5" borderId="0" xfId="0" applyFont="1" applyFill="1"/>
    <xf numFmtId="0" fontId="6" fillId="5" borderId="0" xfId="0" applyFont="1" applyFill="1"/>
    <xf numFmtId="0" fontId="6" fillId="0" borderId="0" xfId="0" applyFont="1"/>
    <xf numFmtId="0" fontId="6" fillId="3" borderId="0" xfId="0" applyFont="1" applyFill="1" applyBorder="1"/>
    <xf numFmtId="0" fontId="11" fillId="3" borderId="0" xfId="0" applyFont="1" applyFill="1" applyBorder="1"/>
    <xf numFmtId="0" fontId="18" fillId="3" borderId="0" xfId="0" applyFont="1" applyFill="1" applyBorder="1" applyAlignment="1">
      <alignment vertical="center"/>
    </xf>
    <xf numFmtId="0" fontId="11" fillId="3" borderId="1" xfId="0" applyFont="1" applyFill="1" applyBorder="1" applyAlignment="1">
      <alignment horizontal="center" vertical="center" wrapText="1"/>
    </xf>
    <xf numFmtId="0" fontId="18" fillId="3" borderId="3" xfId="0" applyFont="1" applyFill="1" applyBorder="1" applyAlignment="1">
      <alignment vertical="center"/>
    </xf>
    <xf numFmtId="175" fontId="6" fillId="0" borderId="0" xfId="2" applyNumberFormat="1" applyFont="1" applyAlignment="1"/>
    <xf numFmtId="0" fontId="18" fillId="0" borderId="0" xfId="0" applyFont="1"/>
    <xf numFmtId="0" fontId="18" fillId="0" borderId="0" xfId="0" applyFont="1" applyAlignment="1"/>
    <xf numFmtId="9" fontId="6" fillId="0" borderId="0" xfId="0" applyNumberFormat="1" applyFont="1"/>
    <xf numFmtId="176" fontId="18" fillId="0" borderId="5" xfId="2" applyNumberFormat="1" applyFont="1" applyBorder="1" applyAlignment="1"/>
    <xf numFmtId="0" fontId="18" fillId="0" borderId="17" xfId="0" applyFont="1" applyBorder="1"/>
    <xf numFmtId="176" fontId="18" fillId="0" borderId="7" xfId="2" applyNumberFormat="1" applyFont="1" applyBorder="1" applyAlignment="1"/>
    <xf numFmtId="0" fontId="18" fillId="0" borderId="8" xfId="0" applyFont="1" applyBorder="1"/>
    <xf numFmtId="0" fontId="6" fillId="3" borderId="0" xfId="0" applyFont="1" applyFill="1" applyAlignment="1">
      <alignment vertical="top" wrapText="1"/>
    </xf>
    <xf numFmtId="0" fontId="6" fillId="3" borderId="0" xfId="0" applyFont="1" applyFill="1"/>
    <xf numFmtId="0" fontId="10" fillId="3" borderId="0" xfId="0" applyFont="1" applyFill="1" applyAlignment="1">
      <alignment vertical="center"/>
    </xf>
    <xf numFmtId="0" fontId="20" fillId="3" borderId="0" xfId="0" applyFont="1" applyFill="1" applyAlignment="1">
      <alignment vertical="center"/>
    </xf>
    <xf numFmtId="0" fontId="6" fillId="3" borderId="19" xfId="0" applyFont="1" applyFill="1" applyBorder="1" applyAlignment="1">
      <alignment horizontal="center"/>
    </xf>
    <xf numFmtId="0" fontId="6" fillId="3" borderId="24" xfId="0" applyFont="1" applyFill="1" applyBorder="1" applyAlignment="1">
      <alignment horizontal="center"/>
    </xf>
    <xf numFmtId="0" fontId="6" fillId="3" borderId="21" xfId="0" applyFont="1" applyFill="1" applyBorder="1" applyAlignment="1">
      <alignment horizontal="center"/>
    </xf>
    <xf numFmtId="0" fontId="6" fillId="0" borderId="0" xfId="0" applyFont="1" applyFill="1"/>
    <xf numFmtId="3" fontId="6" fillId="0" borderId="2" xfId="0" applyNumberFormat="1" applyFont="1" applyFill="1" applyBorder="1" applyAlignment="1">
      <alignment horizontal="center"/>
    </xf>
    <xf numFmtId="3" fontId="6" fillId="0" borderId="2" xfId="0" quotePrefix="1" applyNumberFormat="1" applyFont="1" applyFill="1" applyBorder="1" applyAlignment="1">
      <alignment horizontal="center"/>
    </xf>
    <xf numFmtId="3" fontId="6" fillId="0" borderId="0" xfId="0" applyNumberFormat="1" applyFont="1" applyFill="1" applyBorder="1" applyAlignment="1">
      <alignment horizontal="center"/>
    </xf>
    <xf numFmtId="3" fontId="6" fillId="0" borderId="0" xfId="0" quotePrefix="1" applyNumberFormat="1" applyFont="1" applyFill="1" applyBorder="1" applyAlignment="1">
      <alignment horizontal="center"/>
    </xf>
    <xf numFmtId="3" fontId="6" fillId="0" borderId="1" xfId="0" applyNumberFormat="1" applyFont="1" applyFill="1" applyBorder="1" applyAlignment="1">
      <alignment horizontal="center"/>
    </xf>
    <xf numFmtId="3" fontId="6" fillId="0" borderId="1" xfId="0" quotePrefix="1" applyNumberFormat="1" applyFont="1" applyFill="1" applyBorder="1" applyAlignment="1">
      <alignment horizontal="center"/>
    </xf>
    <xf numFmtId="0" fontId="6" fillId="0" borderId="2" xfId="0" applyFont="1" applyFill="1" applyBorder="1" applyAlignment="1">
      <alignment horizontal="center"/>
    </xf>
    <xf numFmtId="0" fontId="6" fillId="0" borderId="3" xfId="0" applyFont="1" applyFill="1" applyBorder="1"/>
    <xf numFmtId="0" fontId="6" fillId="3" borderId="0" xfId="0" applyFont="1" applyFill="1" applyAlignment="1">
      <alignment vertical="center" wrapText="1"/>
    </xf>
    <xf numFmtId="0" fontId="6" fillId="3" borderId="0" xfId="0" applyFont="1" applyFill="1" applyAlignment="1"/>
    <xf numFmtId="0" fontId="6" fillId="8" borderId="4" xfId="0" applyFont="1" applyFill="1" applyBorder="1" applyAlignment="1">
      <alignment horizontal="center"/>
    </xf>
    <xf numFmtId="0" fontId="6" fillId="0" borderId="25" xfId="0" applyFont="1" applyBorder="1" applyAlignment="1">
      <alignment horizontal="center"/>
    </xf>
    <xf numFmtId="165" fontId="6" fillId="0" borderId="13" xfId="0" applyNumberFormat="1" applyFont="1" applyBorder="1" applyAlignment="1">
      <alignment horizontal="center"/>
    </xf>
    <xf numFmtId="182" fontId="6" fillId="0" borderId="0" xfId="0" applyNumberFormat="1" applyFont="1"/>
    <xf numFmtId="0" fontId="6" fillId="0" borderId="0" xfId="0" applyFont="1" applyAlignment="1">
      <alignment horizontal="left"/>
    </xf>
    <xf numFmtId="0" fontId="6" fillId="0" borderId="0" xfId="0" applyFont="1" applyAlignment="1">
      <alignment horizontal="left" wrapText="1"/>
    </xf>
    <xf numFmtId="0" fontId="6" fillId="0" borderId="3" xfId="0" applyFont="1" applyBorder="1"/>
    <xf numFmtId="0" fontId="18" fillId="0" borderId="4" xfId="0" applyFont="1" applyFill="1" applyBorder="1" applyAlignment="1">
      <alignment horizontal="center" vertical="center"/>
    </xf>
    <xf numFmtId="0" fontId="18" fillId="0" borderId="4" xfId="0" applyFont="1" applyBorder="1" applyAlignment="1">
      <alignment horizontal="center" vertical="center"/>
    </xf>
    <xf numFmtId="0" fontId="18" fillId="0" borderId="0" xfId="0" applyFont="1" applyBorder="1" applyAlignment="1">
      <alignment horizontal="center" vertical="center"/>
    </xf>
    <xf numFmtId="0" fontId="18" fillId="0" borderId="0" xfId="0" applyFont="1" applyBorder="1" applyAlignment="1">
      <alignment horizontal="center"/>
    </xf>
    <xf numFmtId="0" fontId="6" fillId="0" borderId="17" xfId="0" applyFont="1" applyBorder="1"/>
    <xf numFmtId="0" fontId="6" fillId="0" borderId="0" xfId="0" applyFont="1" applyBorder="1" applyAlignment="1">
      <alignment horizontal="center"/>
    </xf>
    <xf numFmtId="0" fontId="6" fillId="0" borderId="29" xfId="0" applyFont="1" applyBorder="1"/>
    <xf numFmtId="0" fontId="6" fillId="0" borderId="0" xfId="0" applyFont="1" applyBorder="1"/>
    <xf numFmtId="2" fontId="6" fillId="0" borderId="0" xfId="0" applyNumberFormat="1" applyFont="1" applyBorder="1" applyAlignment="1">
      <alignment horizontal="center"/>
    </xf>
    <xf numFmtId="0" fontId="6" fillId="0" borderId="3" xfId="0" applyFont="1" applyBorder="1" applyAlignment="1">
      <alignment horizontal="center"/>
    </xf>
    <xf numFmtId="0" fontId="6" fillId="0" borderId="8" xfId="0" applyFont="1" applyBorder="1"/>
    <xf numFmtId="0" fontId="6" fillId="0" borderId="7" xfId="0" applyFont="1" applyBorder="1"/>
    <xf numFmtId="0" fontId="18" fillId="0" borderId="5" xfId="0" applyFont="1" applyBorder="1"/>
    <xf numFmtId="0" fontId="18" fillId="0" borderId="9" xfId="0" applyFont="1" applyBorder="1"/>
    <xf numFmtId="0" fontId="6" fillId="0" borderId="9" xfId="0" applyFont="1" applyBorder="1"/>
    <xf numFmtId="0" fontId="6" fillId="0" borderId="9" xfId="0" applyFont="1" applyBorder="1" applyAlignment="1">
      <alignment horizontal="center"/>
    </xf>
    <xf numFmtId="174" fontId="6" fillId="0" borderId="9" xfId="0" applyNumberFormat="1" applyFont="1" applyBorder="1"/>
    <xf numFmtId="2" fontId="6" fillId="0" borderId="0" xfId="0" applyNumberFormat="1" applyFont="1" applyAlignment="1">
      <alignment horizontal="center"/>
    </xf>
    <xf numFmtId="2" fontId="6" fillId="0" borderId="0" xfId="0" applyNumberFormat="1" applyFont="1"/>
    <xf numFmtId="165" fontId="6" fillId="0" borderId="13" xfId="0" applyNumberFormat="1" applyFont="1" applyBorder="1"/>
    <xf numFmtId="0" fontId="6" fillId="0" borderId="25" xfId="0" applyFont="1" applyBorder="1"/>
    <xf numFmtId="174" fontId="6" fillId="0" borderId="0" xfId="0" applyNumberFormat="1" applyFont="1"/>
    <xf numFmtId="165" fontId="6" fillId="0" borderId="0" xfId="0" applyNumberFormat="1" applyFont="1"/>
    <xf numFmtId="0" fontId="18" fillId="0" borderId="4" xfId="0" applyFont="1" applyBorder="1" applyAlignment="1">
      <alignment horizontal="center"/>
    </xf>
    <xf numFmtId="0" fontId="6" fillId="0" borderId="27" xfId="0" applyFont="1" applyBorder="1"/>
    <xf numFmtId="0" fontId="6" fillId="0" borderId="27" xfId="0" applyFont="1" applyBorder="1" applyAlignment="1">
      <alignment horizontal="center"/>
    </xf>
    <xf numFmtId="0" fontId="6" fillId="0" borderId="11" xfId="0" applyFont="1" applyBorder="1"/>
    <xf numFmtId="0" fontId="6" fillId="0" borderId="8" xfId="0" applyFont="1" applyBorder="1" applyAlignment="1">
      <alignment horizontal="center"/>
    </xf>
    <xf numFmtId="0" fontId="6" fillId="0" borderId="11" xfId="0" applyFont="1" applyBorder="1" applyAlignment="1">
      <alignment horizontal="center"/>
    </xf>
    <xf numFmtId="0" fontId="18" fillId="3" borderId="0" xfId="0" applyFont="1" applyFill="1"/>
    <xf numFmtId="0" fontId="10" fillId="0" borderId="0" xfId="0" applyFont="1"/>
    <xf numFmtId="0" fontId="20" fillId="0" borderId="0" xfId="0" applyFont="1" applyBorder="1" applyAlignment="1">
      <alignment horizontal="left" vertical="center"/>
    </xf>
    <xf numFmtId="0" fontId="10" fillId="0" borderId="25"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xf>
    <xf numFmtId="0" fontId="11" fillId="0" borderId="0" xfId="0" applyFont="1" applyFill="1" applyBorder="1" applyAlignment="1">
      <alignment horizontal="left" vertical="center"/>
    </xf>
    <xf numFmtId="0" fontId="23" fillId="0" borderId="0" xfId="0" applyFont="1" applyBorder="1" applyAlignment="1">
      <alignment horizontal="center" vertical="center"/>
    </xf>
    <xf numFmtId="177" fontId="11" fillId="0" borderId="19" xfId="0" applyNumberFormat="1" applyFont="1" applyBorder="1" applyAlignment="1">
      <alignment horizontal="center" vertical="center"/>
    </xf>
    <xf numFmtId="177" fontId="11" fillId="0" borderId="2" xfId="0" applyNumberFormat="1" applyFont="1" applyBorder="1" applyAlignment="1">
      <alignment horizontal="center" vertical="center"/>
    </xf>
    <xf numFmtId="3" fontId="10" fillId="0" borderId="16" xfId="0" applyNumberFormat="1" applyFont="1" applyBorder="1" applyAlignment="1">
      <alignment horizontal="center" vertical="center"/>
    </xf>
    <xf numFmtId="0" fontId="23" fillId="0" borderId="0" xfId="0" applyFont="1" applyBorder="1" applyAlignment="1">
      <alignment vertical="center"/>
    </xf>
    <xf numFmtId="9" fontId="23" fillId="0" borderId="0" xfId="0" applyNumberFormat="1" applyFont="1" applyBorder="1" applyAlignment="1">
      <alignment horizontal="center" vertical="center"/>
    </xf>
    <xf numFmtId="177" fontId="11" fillId="0" borderId="24" xfId="0" applyNumberFormat="1" applyFont="1" applyBorder="1" applyAlignment="1">
      <alignment horizontal="center" vertical="center"/>
    </xf>
    <xf numFmtId="177" fontId="11" fillId="0" borderId="0" xfId="0" applyNumberFormat="1" applyFont="1" applyBorder="1" applyAlignment="1">
      <alignment horizontal="center" vertical="center"/>
    </xf>
    <xf numFmtId="3" fontId="10" fillId="0" borderId="22" xfId="0" applyNumberFormat="1" applyFont="1" applyBorder="1" applyAlignment="1">
      <alignment horizontal="center" vertical="center"/>
    </xf>
    <xf numFmtId="9" fontId="11" fillId="0" borderId="0" xfId="1" applyFont="1" applyAlignment="1">
      <alignment horizontal="center"/>
    </xf>
    <xf numFmtId="9" fontId="11" fillId="0" borderId="0" xfId="1" applyFont="1"/>
    <xf numFmtId="9" fontId="11" fillId="0" borderId="0" xfId="1" applyFont="1" applyAlignment="1"/>
    <xf numFmtId="0" fontId="11" fillId="0" borderId="29" xfId="0" applyFont="1" applyBorder="1"/>
    <xf numFmtId="0" fontId="11" fillId="0" borderId="7" xfId="0" applyFont="1" applyBorder="1" applyAlignment="1">
      <alignment horizontal="center"/>
    </xf>
    <xf numFmtId="16" fontId="11" fillId="0" borderId="3" xfId="0" quotePrefix="1" applyNumberFormat="1" applyFont="1" applyBorder="1" applyAlignment="1">
      <alignment horizontal="center"/>
    </xf>
    <xf numFmtId="0" fontId="11" fillId="0" borderId="8" xfId="0" applyFont="1" applyBorder="1" applyAlignment="1">
      <alignment horizontal="center"/>
    </xf>
    <xf numFmtId="177" fontId="10" fillId="0" borderId="21" xfId="0" applyNumberFormat="1" applyFont="1" applyBorder="1" applyAlignment="1">
      <alignment horizontal="center" vertical="center"/>
    </xf>
    <xf numFmtId="177" fontId="10" fillId="0" borderId="1" xfId="0" applyNumberFormat="1" applyFont="1" applyBorder="1" applyAlignment="1">
      <alignment horizontal="center" vertical="center"/>
    </xf>
    <xf numFmtId="177" fontId="10" fillId="0" borderId="15" xfId="0" applyNumberFormat="1" applyFont="1" applyBorder="1" applyAlignment="1">
      <alignment horizontal="center" vertical="center"/>
    </xf>
    <xf numFmtId="3" fontId="6" fillId="0" borderId="0" xfId="0" applyNumberFormat="1" applyFont="1"/>
    <xf numFmtId="9" fontId="6" fillId="0" borderId="0" xfId="1" applyFont="1" applyAlignment="1">
      <alignment horizontal="center"/>
    </xf>
    <xf numFmtId="9" fontId="6" fillId="0" borderId="0" xfId="1" applyFont="1"/>
    <xf numFmtId="9" fontId="6" fillId="0" borderId="0" xfId="1" applyFont="1" applyAlignment="1"/>
    <xf numFmtId="0" fontId="6" fillId="0" borderId="7" xfId="0" applyFont="1" applyBorder="1" applyAlignment="1">
      <alignment horizontal="center"/>
    </xf>
    <xf numFmtId="16" fontId="6" fillId="0" borderId="3" xfId="0" quotePrefix="1" applyNumberFormat="1" applyFont="1" applyBorder="1" applyAlignment="1">
      <alignment horizontal="center"/>
    </xf>
    <xf numFmtId="0" fontId="6" fillId="0" borderId="4" xfId="0" applyFont="1" applyBorder="1"/>
    <xf numFmtId="4" fontId="6" fillId="0" borderId="0" xfId="0" applyNumberFormat="1" applyFont="1" applyAlignment="1">
      <alignment horizontal="center"/>
    </xf>
    <xf numFmtId="3" fontId="6" fillId="0" borderId="0" xfId="0" applyNumberFormat="1" applyFont="1" applyAlignment="1"/>
    <xf numFmtId="43" fontId="6" fillId="0" borderId="0" xfId="2" applyFont="1" applyAlignment="1">
      <alignment horizontal="right"/>
    </xf>
    <xf numFmtId="9" fontId="6" fillId="0" borderId="0" xfId="1" applyFont="1" applyBorder="1"/>
    <xf numFmtId="0" fontId="10" fillId="0" borderId="0" xfId="0" applyFont="1" applyBorder="1" applyAlignment="1">
      <alignment horizontal="center" vertical="center"/>
    </xf>
    <xf numFmtId="177" fontId="10" fillId="0" borderId="0" xfId="0" applyNumberFormat="1" applyFont="1" applyBorder="1" applyAlignment="1">
      <alignment horizontal="center" vertical="center"/>
    </xf>
    <xf numFmtId="177" fontId="10" fillId="0" borderId="14" xfId="0" applyNumberFormat="1" applyFont="1" applyBorder="1" applyAlignment="1">
      <alignment horizontal="center" vertical="center"/>
    </xf>
    <xf numFmtId="177" fontId="10" fillId="0" borderId="13" xfId="0" applyNumberFormat="1" applyFont="1" applyBorder="1" applyAlignment="1">
      <alignment horizontal="center" vertical="center"/>
    </xf>
    <xf numFmtId="0" fontId="10" fillId="0" borderId="24" xfId="0" applyFont="1" applyBorder="1" applyAlignment="1">
      <alignment horizontal="center" vertical="center"/>
    </xf>
    <xf numFmtId="0" fontId="11" fillId="0" borderId="0" xfId="0" applyFont="1" applyBorder="1" applyAlignment="1">
      <alignment horizontal="center" vertical="center"/>
    </xf>
    <xf numFmtId="0" fontId="11" fillId="0" borderId="22" xfId="0" applyFont="1" applyBorder="1" applyAlignment="1">
      <alignment horizontal="center" vertical="center"/>
    </xf>
    <xf numFmtId="177" fontId="11" fillId="0" borderId="22" xfId="0" applyNumberFormat="1" applyFont="1" applyBorder="1" applyAlignment="1">
      <alignment horizontal="center" vertical="center"/>
    </xf>
    <xf numFmtId="0" fontId="10" fillId="0" borderId="21" xfId="0" applyFont="1" applyBorder="1" applyAlignment="1">
      <alignment horizontal="center" vertical="center"/>
    </xf>
    <xf numFmtId="0" fontId="10" fillId="0" borderId="1" xfId="0" applyFont="1" applyBorder="1" applyAlignment="1">
      <alignment horizontal="center" vertical="center"/>
    </xf>
    <xf numFmtId="0" fontId="10" fillId="0" borderId="15" xfId="0" applyFont="1" applyBorder="1" applyAlignment="1">
      <alignment horizontal="center" vertical="center"/>
    </xf>
    <xf numFmtId="10" fontId="10" fillId="0" borderId="1" xfId="1" applyNumberFormat="1" applyFont="1" applyBorder="1" applyAlignment="1">
      <alignment horizontal="center" vertical="center"/>
    </xf>
    <xf numFmtId="10" fontId="10" fillId="0" borderId="15" xfId="1" applyNumberFormat="1" applyFont="1" applyBorder="1" applyAlignment="1">
      <alignment horizontal="center" vertical="center"/>
    </xf>
    <xf numFmtId="43" fontId="11" fillId="0" borderId="0" xfId="2" applyFont="1" applyFill="1" applyBorder="1" applyAlignment="1">
      <alignment horizontal="center" vertical="center"/>
    </xf>
    <xf numFmtId="172" fontId="6" fillId="0" borderId="0" xfId="0" applyNumberFormat="1" applyFont="1"/>
    <xf numFmtId="0" fontId="6" fillId="10" borderId="0" xfId="0" applyFont="1" applyFill="1"/>
    <xf numFmtId="0" fontId="6" fillId="10" borderId="9" xfId="0" applyFont="1" applyFill="1" applyBorder="1"/>
    <xf numFmtId="0" fontId="18" fillId="10" borderId="9" xfId="0" applyFont="1" applyFill="1" applyBorder="1"/>
    <xf numFmtId="0" fontId="25" fillId="0" borderId="0" xfId="0" applyFont="1" applyAlignment="1">
      <alignment horizontal="justify" vertical="center"/>
    </xf>
    <xf numFmtId="183" fontId="6" fillId="0" borderId="0" xfId="1" applyNumberFormat="1" applyFont="1"/>
    <xf numFmtId="0" fontId="6" fillId="6" borderId="0" xfId="0" applyFont="1" applyFill="1" applyAlignment="1">
      <alignment horizontal="left" vertical="top" wrapText="1"/>
    </xf>
    <xf numFmtId="0" fontId="6" fillId="6" borderId="0" xfId="0" applyFont="1" applyFill="1" applyAlignment="1">
      <alignment horizontal="center" vertical="top" wrapText="1"/>
    </xf>
    <xf numFmtId="0" fontId="24" fillId="6" borderId="0" xfId="0" applyFont="1" applyFill="1" applyBorder="1"/>
    <xf numFmtId="0" fontId="24" fillId="6" borderId="0" xfId="0" applyFont="1" applyFill="1"/>
    <xf numFmtId="0" fontId="23" fillId="6" borderId="0" xfId="0" applyFont="1" applyFill="1" applyBorder="1" applyAlignment="1">
      <alignment vertical="center"/>
    </xf>
    <xf numFmtId="0" fontId="23" fillId="6" borderId="0" xfId="0" applyFont="1" applyFill="1" applyAlignment="1">
      <alignment horizontal="center" vertical="center" wrapText="1"/>
    </xf>
    <xf numFmtId="173" fontId="23" fillId="6" borderId="0" xfId="0" applyNumberFormat="1" applyFont="1" applyFill="1" applyBorder="1" applyAlignment="1">
      <alignment horizontal="center" vertical="center"/>
    </xf>
    <xf numFmtId="173" fontId="23" fillId="6" borderId="0" xfId="0" applyNumberFormat="1" applyFont="1" applyFill="1" applyBorder="1" applyAlignment="1">
      <alignment horizontal="center" vertical="center" wrapText="1"/>
    </xf>
    <xf numFmtId="0" fontId="6" fillId="0" borderId="0" xfId="0" applyFont="1" applyAlignment="1">
      <alignment vertical="top" wrapText="1"/>
    </xf>
    <xf numFmtId="10" fontId="23" fillId="6" borderId="0" xfId="1" applyNumberFormat="1" applyFont="1" applyFill="1" applyBorder="1" applyAlignment="1">
      <alignment horizontal="center" vertical="center"/>
    </xf>
    <xf numFmtId="10" fontId="23" fillId="6" borderId="0" xfId="1" applyNumberFormat="1" applyFont="1" applyFill="1" applyBorder="1" applyAlignment="1">
      <alignment horizontal="center" vertical="center" wrapText="1"/>
    </xf>
    <xf numFmtId="173" fontId="27" fillId="6" borderId="0" xfId="0" applyNumberFormat="1" applyFont="1" applyFill="1" applyBorder="1" applyAlignment="1">
      <alignment horizontal="center"/>
    </xf>
    <xf numFmtId="0" fontId="6" fillId="6" borderId="0" xfId="0" applyFont="1" applyFill="1" applyAlignment="1">
      <alignment vertical="top" wrapText="1"/>
    </xf>
    <xf numFmtId="0" fontId="26" fillId="6" borderId="0" xfId="0" applyFont="1" applyFill="1" applyBorder="1" applyAlignment="1">
      <alignment horizontal="left" vertical="top" wrapText="1"/>
    </xf>
    <xf numFmtId="0" fontId="6" fillId="6" borderId="0" xfId="0" applyFont="1" applyFill="1"/>
    <xf numFmtId="186" fontId="6" fillId="6" borderId="0" xfId="2" applyNumberFormat="1" applyFont="1" applyFill="1"/>
    <xf numFmtId="0" fontId="27" fillId="3" borderId="0" xfId="0" applyFont="1" applyFill="1"/>
    <xf numFmtId="0" fontId="27" fillId="6" borderId="0" xfId="0" applyFont="1" applyFill="1" applyBorder="1" applyAlignment="1">
      <alignment horizontal="center"/>
    </xf>
    <xf numFmtId="0" fontId="27" fillId="7" borderId="0" xfId="0" applyFont="1" applyFill="1" applyBorder="1" applyAlignment="1">
      <alignment horizontal="center"/>
    </xf>
    <xf numFmtId="0" fontId="6" fillId="0" borderId="28" xfId="0" applyFont="1" applyBorder="1"/>
    <xf numFmtId="0" fontId="18" fillId="0" borderId="29" xfId="0" applyFont="1" applyBorder="1" applyAlignment="1">
      <alignment horizontal="center"/>
    </xf>
    <xf numFmtId="169" fontId="6" fillId="0" borderId="0" xfId="215" applyFont="1" applyAlignment="1">
      <alignment horizontal="center"/>
    </xf>
    <xf numFmtId="0" fontId="18" fillId="0" borderId="26" xfId="0" applyFont="1" applyBorder="1" applyAlignment="1">
      <alignment horizontal="center"/>
    </xf>
    <xf numFmtId="10" fontId="6" fillId="0" borderId="6" xfId="1" applyNumberFormat="1" applyFont="1" applyBorder="1"/>
    <xf numFmtId="10" fontId="6" fillId="0" borderId="0" xfId="0" applyNumberFormat="1" applyFont="1"/>
    <xf numFmtId="10" fontId="6" fillId="0" borderId="0" xfId="1" applyNumberFormat="1" applyFont="1"/>
    <xf numFmtId="0" fontId="6" fillId="0" borderId="0" xfId="0" applyFont="1" applyAlignment="1"/>
    <xf numFmtId="167" fontId="6" fillId="0" borderId="0" xfId="0" applyNumberFormat="1" applyFont="1"/>
    <xf numFmtId="167" fontId="6" fillId="0" borderId="0" xfId="0" applyNumberFormat="1" applyFont="1" applyAlignment="1">
      <alignment horizontal="center"/>
    </xf>
    <xf numFmtId="178" fontId="6" fillId="0" borderId="0" xfId="2" applyNumberFormat="1" applyFont="1"/>
    <xf numFmtId="167" fontId="6" fillId="0" borderId="3" xfId="0" applyNumberFormat="1" applyFont="1" applyBorder="1"/>
    <xf numFmtId="165" fontId="6" fillId="0" borderId="3" xfId="0" applyNumberFormat="1" applyFont="1" applyBorder="1"/>
    <xf numFmtId="169" fontId="6" fillId="0" borderId="3" xfId="215" applyFont="1" applyBorder="1"/>
    <xf numFmtId="169" fontId="6" fillId="0" borderId="0" xfId="0" applyNumberFormat="1" applyFont="1" applyAlignment="1">
      <alignment horizontal="center"/>
    </xf>
    <xf numFmtId="165" fontId="18" fillId="0" borderId="0" xfId="0" applyNumberFormat="1" applyFont="1" applyBorder="1" applyAlignment="1">
      <alignment horizontal="center"/>
    </xf>
    <xf numFmtId="165" fontId="6" fillId="0" borderId="0" xfId="0" applyNumberFormat="1" applyFont="1" applyAlignment="1">
      <alignment horizontal="center"/>
    </xf>
    <xf numFmtId="10" fontId="6" fillId="0" borderId="0" xfId="0" applyNumberFormat="1" applyFont="1" applyAlignment="1">
      <alignment horizontal="center"/>
    </xf>
    <xf numFmtId="3" fontId="6" fillId="0" borderId="0" xfId="0" applyNumberFormat="1" applyFont="1" applyAlignment="1">
      <alignment horizontal="center"/>
    </xf>
    <xf numFmtId="166" fontId="6" fillId="0" borderId="0" xfId="0" applyNumberFormat="1" applyFont="1" applyAlignment="1">
      <alignment horizontal="center"/>
    </xf>
    <xf numFmtId="0" fontId="6" fillId="0" borderId="26" xfId="0" applyFont="1" applyBorder="1"/>
    <xf numFmtId="166" fontId="6" fillId="0" borderId="6" xfId="0" applyNumberFormat="1" applyFont="1" applyBorder="1"/>
    <xf numFmtId="0" fontId="6" fillId="0" borderId="5" xfId="0" applyFont="1" applyBorder="1"/>
    <xf numFmtId="9" fontId="6" fillId="0" borderId="9" xfId="0" applyNumberFormat="1" applyFont="1" applyBorder="1" applyAlignment="1">
      <alignment horizontal="center"/>
    </xf>
    <xf numFmtId="166" fontId="6" fillId="0" borderId="17" xfId="0" applyNumberFormat="1" applyFont="1" applyBorder="1"/>
    <xf numFmtId="9" fontId="6" fillId="0" borderId="3" xfId="0" applyNumberFormat="1" applyFont="1" applyBorder="1" applyAlignment="1">
      <alignment horizontal="center"/>
    </xf>
    <xf numFmtId="166" fontId="6" fillId="0" borderId="8" xfId="0" applyNumberFormat="1" applyFont="1" applyBorder="1"/>
    <xf numFmtId="166" fontId="6" fillId="0" borderId="0" xfId="0" applyNumberFormat="1" applyFont="1"/>
    <xf numFmtId="0" fontId="6" fillId="0" borderId="0" xfId="0" applyFont="1" applyFill="1" applyAlignment="1">
      <alignment horizontal="left" wrapText="1"/>
    </xf>
    <xf numFmtId="0" fontId="18" fillId="0" borderId="0" xfId="0" applyFont="1" applyFill="1" applyAlignment="1">
      <alignment horizontal="left" wrapText="1"/>
    </xf>
    <xf numFmtId="0" fontId="6" fillId="0" borderId="0" xfId="0" applyFont="1" applyFill="1" applyAlignment="1">
      <alignment horizontal="center" wrapText="1"/>
    </xf>
    <xf numFmtId="9" fontId="6" fillId="0" borderId="0" xfId="0" applyNumberFormat="1" applyFont="1" applyAlignment="1">
      <alignment horizontal="center"/>
    </xf>
    <xf numFmtId="184" fontId="6" fillId="0" borderId="0" xfId="0" applyNumberFormat="1" applyFont="1" applyAlignment="1">
      <alignment horizontal="center"/>
    </xf>
    <xf numFmtId="9" fontId="6" fillId="0" borderId="0" xfId="0" applyNumberFormat="1" applyFont="1" applyBorder="1"/>
    <xf numFmtId="179" fontId="6" fillId="0" borderId="0" xfId="0" applyNumberFormat="1" applyFont="1" applyBorder="1"/>
    <xf numFmtId="0" fontId="6" fillId="0" borderId="28" xfId="0" applyFont="1" applyBorder="1" applyAlignment="1">
      <alignment horizontal="center"/>
    </xf>
    <xf numFmtId="2" fontId="6" fillId="0" borderId="3" xfId="0" applyNumberFormat="1" applyFont="1" applyBorder="1" applyAlignment="1">
      <alignment horizontal="center"/>
    </xf>
    <xf numFmtId="0" fontId="6" fillId="0" borderId="29" xfId="0" applyFont="1" applyFill="1" applyBorder="1" applyAlignment="1">
      <alignment horizontal="left" wrapText="1"/>
    </xf>
    <xf numFmtId="179" fontId="6" fillId="0" borderId="3" xfId="0" applyNumberFormat="1" applyFont="1" applyBorder="1" applyAlignment="1">
      <alignment horizontal="center"/>
    </xf>
    <xf numFmtId="0" fontId="6" fillId="0" borderId="12" xfId="0" applyFont="1" applyBorder="1"/>
    <xf numFmtId="179" fontId="6" fillId="0" borderId="12" xfId="0" applyNumberFormat="1" applyFont="1" applyBorder="1" applyAlignment="1">
      <alignment horizontal="center"/>
    </xf>
    <xf numFmtId="0" fontId="6" fillId="0" borderId="6" xfId="0" applyFont="1" applyBorder="1" applyAlignment="1">
      <alignment horizontal="center"/>
    </xf>
    <xf numFmtId="2" fontId="6" fillId="0" borderId="12" xfId="0" applyNumberFormat="1" applyFont="1" applyBorder="1" applyAlignment="1">
      <alignment horizontal="center"/>
    </xf>
    <xf numFmtId="0" fontId="6" fillId="0" borderId="0" xfId="0" quotePrefix="1" applyFont="1"/>
    <xf numFmtId="165" fontId="9" fillId="0" borderId="0" xfId="0" applyNumberFormat="1" applyFont="1" applyFill="1" applyAlignment="1">
      <alignment horizontal="center"/>
    </xf>
    <xf numFmtId="0" fontId="9" fillId="0" borderId="0" xfId="0" applyFont="1" applyFill="1"/>
    <xf numFmtId="0" fontId="6" fillId="0" borderId="0" xfId="0" applyFont="1" applyBorder="1" applyAlignment="1">
      <alignment horizontal="left" vertical="top" wrapText="1"/>
    </xf>
    <xf numFmtId="0" fontId="6" fillId="12" borderId="48" xfId="0" applyFont="1" applyFill="1" applyBorder="1" applyAlignment="1">
      <alignment horizontal="center" vertical="center"/>
    </xf>
    <xf numFmtId="0" fontId="6" fillId="12" borderId="49" xfId="0" applyFont="1" applyFill="1" applyBorder="1" applyAlignment="1">
      <alignment horizontal="center" vertical="center"/>
    </xf>
    <xf numFmtId="0" fontId="6" fillId="12" borderId="50" xfId="0" applyFont="1" applyFill="1" applyBorder="1" applyAlignment="1">
      <alignment horizontal="center" vertical="center"/>
    </xf>
    <xf numFmtId="9" fontId="6" fillId="12" borderId="46" xfId="1" applyFont="1" applyFill="1" applyBorder="1" applyAlignment="1">
      <alignment horizontal="center"/>
    </xf>
    <xf numFmtId="169" fontId="6" fillId="12" borderId="11" xfId="215" applyFont="1" applyFill="1" applyBorder="1" applyAlignment="1">
      <alignment horizontal="center"/>
    </xf>
    <xf numFmtId="169" fontId="6" fillId="12" borderId="47" xfId="215" applyFont="1" applyFill="1" applyBorder="1" applyAlignment="1">
      <alignment horizontal="center"/>
    </xf>
    <xf numFmtId="0" fontId="26" fillId="12" borderId="46" xfId="0" applyFont="1" applyFill="1" applyBorder="1" applyAlignment="1">
      <alignment horizontal="center"/>
    </xf>
    <xf numFmtId="0" fontId="26" fillId="12" borderId="11" xfId="0" applyFont="1" applyFill="1" applyBorder="1" applyAlignment="1">
      <alignment horizontal="center"/>
    </xf>
    <xf numFmtId="0" fontId="26" fillId="12" borderId="7" xfId="0" applyFont="1" applyFill="1" applyBorder="1" applyAlignment="1">
      <alignment horizontal="center"/>
    </xf>
    <xf numFmtId="9" fontId="6" fillId="12" borderId="40" xfId="1" applyFont="1" applyFill="1" applyBorder="1" applyAlignment="1">
      <alignment horizontal="center"/>
    </xf>
    <xf numFmtId="169" fontId="6" fillId="12" borderId="4" xfId="215" applyFont="1" applyFill="1" applyBorder="1" applyAlignment="1">
      <alignment horizontal="center"/>
    </xf>
    <xf numFmtId="169" fontId="6" fillId="12" borderId="41" xfId="215" applyFont="1" applyFill="1" applyBorder="1" applyAlignment="1">
      <alignment horizontal="center"/>
    </xf>
    <xf numFmtId="0" fontId="26" fillId="12" borderId="40" xfId="0" applyFont="1" applyFill="1" applyBorder="1" applyAlignment="1">
      <alignment horizontal="center"/>
    </xf>
    <xf numFmtId="169" fontId="26" fillId="12" borderId="4" xfId="215" applyFont="1" applyFill="1" applyBorder="1" applyAlignment="1">
      <alignment horizontal="center"/>
    </xf>
    <xf numFmtId="169" fontId="26" fillId="12" borderId="26" xfId="0" applyNumberFormat="1" applyFont="1" applyFill="1" applyBorder="1" applyAlignment="1">
      <alignment horizontal="center"/>
    </xf>
    <xf numFmtId="169" fontId="26" fillId="12" borderId="4" xfId="0" applyNumberFormat="1" applyFont="1" applyFill="1" applyBorder="1" applyAlignment="1">
      <alignment horizontal="center"/>
    </xf>
    <xf numFmtId="0" fontId="26" fillId="12" borderId="42" xfId="0" applyFont="1" applyFill="1" applyBorder="1" applyAlignment="1">
      <alignment horizontal="center"/>
    </xf>
    <xf numFmtId="169" fontId="26" fillId="12" borderId="43" xfId="0" applyNumberFormat="1" applyFont="1" applyFill="1" applyBorder="1" applyAlignment="1">
      <alignment horizontal="center"/>
    </xf>
    <xf numFmtId="169" fontId="26" fillId="12" borderId="45" xfId="0" applyNumberFormat="1" applyFont="1" applyFill="1" applyBorder="1" applyAlignment="1">
      <alignment horizontal="center"/>
    </xf>
    <xf numFmtId="0" fontId="26" fillId="0" borderId="0" xfId="0" applyFont="1" applyAlignment="1">
      <alignment horizontal="center"/>
    </xf>
    <xf numFmtId="169" fontId="26" fillId="0" borderId="0" xfId="0" applyNumberFormat="1" applyFont="1" applyAlignment="1">
      <alignment horizontal="center"/>
    </xf>
    <xf numFmtId="0" fontId="6" fillId="0" borderId="0" xfId="0" applyFont="1" applyFill="1" applyAlignment="1">
      <alignment horizontal="center"/>
    </xf>
    <xf numFmtId="9" fontId="6" fillId="12" borderId="42" xfId="1" applyFont="1" applyFill="1" applyBorder="1" applyAlignment="1">
      <alignment horizontal="center"/>
    </xf>
    <xf numFmtId="169" fontId="6" fillId="12" borderId="43" xfId="215" applyFont="1" applyFill="1" applyBorder="1" applyAlignment="1">
      <alignment horizontal="center"/>
    </xf>
    <xf numFmtId="169" fontId="6" fillId="12" borderId="44" xfId="215" applyFont="1" applyFill="1" applyBorder="1" applyAlignment="1">
      <alignment horizontal="center"/>
    </xf>
    <xf numFmtId="0" fontId="6" fillId="3" borderId="0" xfId="0" applyFont="1" applyFill="1" applyAlignment="1">
      <alignment horizontal="center"/>
    </xf>
    <xf numFmtId="0" fontId="6" fillId="3" borderId="25" xfId="0" applyFont="1" applyFill="1" applyBorder="1" applyAlignment="1">
      <alignment horizontal="center"/>
    </xf>
    <xf numFmtId="0" fontId="6" fillId="3" borderId="14" xfId="0" applyFont="1" applyFill="1" applyBorder="1" applyAlignment="1">
      <alignment horizontal="center"/>
    </xf>
    <xf numFmtId="0" fontId="6" fillId="3" borderId="13" xfId="0" applyFont="1" applyFill="1" applyBorder="1" applyAlignment="1">
      <alignment horizontal="center"/>
    </xf>
    <xf numFmtId="0" fontId="6" fillId="0" borderId="14" xfId="0" applyFont="1" applyBorder="1" applyAlignment="1">
      <alignment horizontal="center"/>
    </xf>
    <xf numFmtId="0" fontId="6" fillId="0" borderId="13" xfId="0" applyFont="1" applyBorder="1" applyAlignment="1">
      <alignment horizontal="center"/>
    </xf>
    <xf numFmtId="0" fontId="6" fillId="0" borderId="18" xfId="0" applyFont="1" applyBorder="1" applyAlignment="1">
      <alignment horizontal="center"/>
    </xf>
    <xf numFmtId="0" fontId="6" fillId="0" borderId="21" xfId="0" applyFont="1" applyBorder="1" applyAlignment="1">
      <alignment horizontal="center"/>
    </xf>
    <xf numFmtId="0" fontId="6" fillId="0" borderId="1" xfId="0" applyFont="1" applyBorder="1" applyAlignment="1">
      <alignment horizontal="center"/>
    </xf>
    <xf numFmtId="0" fontId="6" fillId="0" borderId="15" xfId="0" applyFont="1" applyBorder="1" applyAlignment="1">
      <alignment horizontal="center"/>
    </xf>
    <xf numFmtId="0" fontId="6" fillId="0" borderId="20" xfId="0" applyFont="1" applyBorder="1" applyAlignment="1">
      <alignment horizontal="center"/>
    </xf>
    <xf numFmtId="0" fontId="6" fillId="0" borderId="24" xfId="0" applyFont="1" applyBorder="1" applyAlignment="1">
      <alignment horizontal="center"/>
    </xf>
    <xf numFmtId="3" fontId="6" fillId="0" borderId="18" xfId="0" applyNumberFormat="1" applyFont="1" applyBorder="1" applyAlignment="1">
      <alignment horizontal="center"/>
    </xf>
    <xf numFmtId="0" fontId="6" fillId="0" borderId="22" xfId="0" applyFont="1" applyBorder="1" applyAlignment="1">
      <alignment horizontal="center"/>
    </xf>
    <xf numFmtId="173" fontId="6" fillId="0" borderId="18" xfId="0" applyNumberFormat="1" applyFont="1" applyBorder="1" applyAlignment="1">
      <alignment horizontal="center"/>
    </xf>
    <xf numFmtId="3" fontId="6" fillId="0" borderId="23" xfId="0" applyNumberFormat="1" applyFont="1" applyBorder="1" applyAlignment="1">
      <alignment horizontal="center"/>
    </xf>
    <xf numFmtId="3" fontId="6" fillId="0" borderId="24" xfId="0" applyNumberFormat="1" applyFont="1" applyBorder="1" applyAlignment="1">
      <alignment horizontal="center"/>
    </xf>
    <xf numFmtId="3" fontId="6" fillId="0" borderId="0" xfId="0" applyNumberFormat="1" applyFont="1" applyBorder="1" applyAlignment="1">
      <alignment horizontal="center"/>
    </xf>
    <xf numFmtId="3" fontId="6" fillId="0" borderId="22" xfId="0" applyNumberFormat="1" applyFont="1" applyBorder="1" applyAlignment="1">
      <alignment horizontal="center"/>
    </xf>
    <xf numFmtId="173" fontId="6" fillId="0" borderId="23" xfId="0" applyNumberFormat="1" applyFont="1" applyBorder="1" applyAlignment="1">
      <alignment horizontal="center"/>
    </xf>
    <xf numFmtId="3" fontId="6" fillId="0" borderId="20" xfId="0" applyNumberFormat="1" applyFont="1" applyBorder="1" applyAlignment="1">
      <alignment horizontal="center"/>
    </xf>
    <xf numFmtId="3" fontId="6" fillId="0" borderId="1" xfId="0" applyNumberFormat="1" applyFont="1" applyBorder="1" applyAlignment="1">
      <alignment horizontal="center"/>
    </xf>
    <xf numFmtId="3" fontId="6" fillId="0" borderId="15" xfId="0" applyNumberFormat="1" applyFont="1" applyBorder="1" applyAlignment="1">
      <alignment horizontal="center"/>
    </xf>
    <xf numFmtId="173" fontId="6" fillId="0" borderId="20" xfId="0" applyNumberFormat="1" applyFont="1" applyBorder="1" applyAlignment="1">
      <alignment horizontal="center"/>
    </xf>
    <xf numFmtId="0" fontId="6" fillId="0" borderId="19" xfId="0" applyFont="1" applyBorder="1" applyAlignment="1">
      <alignment horizontal="center"/>
    </xf>
    <xf numFmtId="0" fontId="6" fillId="0" borderId="2" xfId="0" applyFont="1" applyBorder="1" applyAlignment="1">
      <alignment horizontal="center"/>
    </xf>
    <xf numFmtId="180" fontId="6" fillId="0" borderId="0" xfId="0" applyNumberFormat="1" applyFont="1" applyAlignment="1">
      <alignment horizontal="center"/>
    </xf>
    <xf numFmtId="170" fontId="6" fillId="12" borderId="0" xfId="0" applyNumberFormat="1" applyFont="1" applyFill="1" applyAlignment="1">
      <alignment horizontal="center"/>
    </xf>
    <xf numFmtId="0" fontId="6" fillId="12" borderId="0" xfId="0" applyFont="1" applyFill="1"/>
    <xf numFmtId="170" fontId="6" fillId="12" borderId="0" xfId="215" applyNumberFormat="1" applyFont="1" applyFill="1"/>
    <xf numFmtId="170" fontId="6" fillId="0" borderId="0" xfId="0" applyNumberFormat="1" applyFont="1" applyAlignment="1">
      <alignment horizontal="center"/>
    </xf>
    <xf numFmtId="43" fontId="6" fillId="0" borderId="0" xfId="2" applyFont="1" applyBorder="1" applyAlignment="1">
      <alignment horizontal="center"/>
    </xf>
    <xf numFmtId="0" fontId="6" fillId="12" borderId="0" xfId="0" applyFont="1" applyFill="1" applyAlignment="1">
      <alignment horizontal="left"/>
    </xf>
    <xf numFmtId="180" fontId="6" fillId="0" borderId="0" xfId="0" applyNumberFormat="1" applyFont="1" applyBorder="1"/>
    <xf numFmtId="0" fontId="6" fillId="0" borderId="28" xfId="0" applyFont="1" applyBorder="1" applyAlignment="1"/>
    <xf numFmtId="0" fontId="6" fillId="0" borderId="0" xfId="0" applyFont="1" applyBorder="1" applyAlignment="1"/>
    <xf numFmtId="43" fontId="6" fillId="0" borderId="0" xfId="2" applyFont="1" applyBorder="1" applyAlignment="1"/>
    <xf numFmtId="43" fontId="6" fillId="0" borderId="0" xfId="0" applyNumberFormat="1" applyFont="1" applyAlignment="1">
      <alignment horizontal="center"/>
    </xf>
    <xf numFmtId="3" fontId="6" fillId="0" borderId="28" xfId="0" applyNumberFormat="1" applyFont="1" applyBorder="1"/>
    <xf numFmtId="0" fontId="6" fillId="0" borderId="29" xfId="0" applyFont="1" applyBorder="1" applyAlignment="1">
      <alignment horizontal="left"/>
    </xf>
    <xf numFmtId="188" fontId="6" fillId="0" borderId="0" xfId="0" applyNumberFormat="1" applyFont="1" applyBorder="1"/>
    <xf numFmtId="170" fontId="6" fillId="0" borderId="0" xfId="0" applyNumberFormat="1" applyFont="1" applyBorder="1"/>
    <xf numFmtId="2" fontId="6" fillId="0" borderId="0" xfId="0" applyNumberFormat="1" applyFont="1" applyBorder="1"/>
    <xf numFmtId="0" fontId="6" fillId="0" borderId="7" xfId="0" applyFont="1" applyBorder="1" applyAlignment="1"/>
    <xf numFmtId="180" fontId="6" fillId="0" borderId="3" xfId="0" applyNumberFormat="1" applyFont="1" applyBorder="1"/>
    <xf numFmtId="2" fontId="6" fillId="0" borderId="3" xfId="0" applyNumberFormat="1" applyFont="1" applyBorder="1"/>
    <xf numFmtId="170" fontId="6" fillId="0" borderId="0" xfId="215" applyNumberFormat="1" applyFont="1" applyFill="1"/>
    <xf numFmtId="180" fontId="6" fillId="0" borderId="0" xfId="0" applyNumberFormat="1" applyFont="1" applyBorder="1" applyAlignment="1">
      <alignment vertical="center" wrapText="1"/>
    </xf>
    <xf numFmtId="180" fontId="6" fillId="0" borderId="0" xfId="0" applyNumberFormat="1" applyFont="1" applyFill="1"/>
    <xf numFmtId="0" fontId="6" fillId="0" borderId="0" xfId="0" applyFont="1" applyFill="1" applyAlignment="1"/>
    <xf numFmtId="0" fontId="6" fillId="0" borderId="0" xfId="0" applyFont="1" applyAlignment="1">
      <alignment horizontal="center" wrapText="1"/>
    </xf>
    <xf numFmtId="2" fontId="6" fillId="12" borderId="0" xfId="0" applyNumberFormat="1" applyFont="1" applyFill="1"/>
    <xf numFmtId="2" fontId="6" fillId="12" borderId="0" xfId="2" applyNumberFormat="1" applyFont="1" applyFill="1"/>
    <xf numFmtId="43" fontId="6" fillId="12" borderId="0" xfId="2" applyNumberFormat="1" applyFont="1" applyFill="1"/>
    <xf numFmtId="180" fontId="6" fillId="12" borderId="0" xfId="0" applyNumberFormat="1" applyFont="1" applyFill="1"/>
    <xf numFmtId="43" fontId="6" fillId="0" borderId="0" xfId="0" applyNumberFormat="1" applyFont="1" applyBorder="1"/>
    <xf numFmtId="180" fontId="6" fillId="0" borderId="0" xfId="0" applyNumberFormat="1" applyFont="1"/>
    <xf numFmtId="9" fontId="6" fillId="0" borderId="0" xfId="0" applyNumberFormat="1" applyFont="1" applyFill="1" applyAlignment="1">
      <alignment horizontal="center"/>
    </xf>
    <xf numFmtId="180" fontId="6" fillId="0" borderId="0" xfId="0" applyNumberFormat="1" applyFont="1" applyFill="1" applyAlignment="1">
      <alignment horizontal="center"/>
    </xf>
    <xf numFmtId="0" fontId="6" fillId="12" borderId="54" xfId="0" applyFont="1" applyFill="1" applyBorder="1" applyAlignment="1">
      <alignment horizontal="right" wrapText="1"/>
    </xf>
    <xf numFmtId="9" fontId="6" fillId="12" borderId="54" xfId="0" applyNumberFormat="1" applyFont="1" applyFill="1" applyBorder="1" applyAlignment="1">
      <alignment horizontal="left" wrapText="1"/>
    </xf>
    <xf numFmtId="0" fontId="6" fillId="12" borderId="14" xfId="0" applyFont="1" applyFill="1" applyBorder="1"/>
    <xf numFmtId="0" fontId="6" fillId="12" borderId="13" xfId="0" applyFont="1" applyFill="1" applyBorder="1"/>
    <xf numFmtId="0" fontId="6" fillId="12" borderId="0" xfId="0" applyFont="1" applyFill="1" applyAlignment="1">
      <alignment horizontal="left" wrapText="1"/>
    </xf>
    <xf numFmtId="0" fontId="6" fillId="12" borderId="46" xfId="0" applyFont="1" applyFill="1" applyBorder="1"/>
    <xf numFmtId="0" fontId="6" fillId="12" borderId="40" xfId="0" applyFont="1" applyFill="1" applyBorder="1" applyAlignment="1">
      <alignment horizontal="center"/>
    </xf>
    <xf numFmtId="0" fontId="6" fillId="12" borderId="4" xfId="0" applyFont="1" applyFill="1" applyBorder="1" applyAlignment="1">
      <alignment horizontal="center"/>
    </xf>
    <xf numFmtId="0" fontId="6" fillId="12" borderId="4" xfId="0" applyFont="1" applyFill="1" applyBorder="1" applyAlignment="1">
      <alignment horizontal="center" wrapText="1"/>
    </xf>
    <xf numFmtId="0" fontId="6" fillId="12" borderId="41" xfId="0" applyFont="1" applyFill="1" applyBorder="1" applyAlignment="1">
      <alignment horizontal="center"/>
    </xf>
    <xf numFmtId="168" fontId="26" fillId="12" borderId="4" xfId="0" applyNumberFormat="1" applyFont="1" applyFill="1" applyBorder="1" applyAlignment="1">
      <alignment horizontal="center"/>
    </xf>
    <xf numFmtId="168" fontId="26" fillId="12" borderId="26" xfId="0" applyNumberFormat="1" applyFont="1" applyFill="1" applyBorder="1" applyAlignment="1">
      <alignment horizontal="center"/>
    </xf>
    <xf numFmtId="168" fontId="26" fillId="12" borderId="40" xfId="0" applyNumberFormat="1" applyFont="1" applyFill="1" applyBorder="1" applyAlignment="1">
      <alignment horizontal="center"/>
    </xf>
    <xf numFmtId="168" fontId="26" fillId="12" borderId="41" xfId="0" applyNumberFormat="1" applyFont="1" applyFill="1" applyBorder="1" applyAlignment="1">
      <alignment horizontal="center"/>
    </xf>
    <xf numFmtId="0" fontId="6" fillId="12" borderId="40" xfId="0" applyFont="1" applyFill="1" applyBorder="1" applyAlignment="1">
      <alignment horizontal="left" wrapText="1"/>
    </xf>
    <xf numFmtId="0" fontId="6" fillId="12" borderId="41" xfId="0" applyFont="1" applyFill="1" applyBorder="1" applyAlignment="1">
      <alignment horizontal="center" wrapText="1"/>
    </xf>
    <xf numFmtId="174" fontId="6" fillId="12" borderId="40" xfId="1" applyNumberFormat="1" applyFont="1" applyFill="1" applyBorder="1" applyAlignment="1">
      <alignment horizontal="left" wrapText="1"/>
    </xf>
    <xf numFmtId="168" fontId="6" fillId="12" borderId="4" xfId="0" applyNumberFormat="1" applyFont="1" applyFill="1" applyBorder="1" applyAlignment="1">
      <alignment horizontal="center" wrapText="1"/>
    </xf>
    <xf numFmtId="168" fontId="6" fillId="12" borderId="41" xfId="0" applyNumberFormat="1" applyFont="1" applyFill="1" applyBorder="1" applyAlignment="1">
      <alignment horizontal="left" wrapText="1"/>
    </xf>
    <xf numFmtId="174" fontId="6" fillId="12" borderId="40" xfId="0" applyNumberFormat="1" applyFont="1" applyFill="1" applyBorder="1" applyAlignment="1">
      <alignment horizontal="left" wrapText="1"/>
    </xf>
    <xf numFmtId="0" fontId="26" fillId="12" borderId="4" xfId="0" applyFont="1" applyFill="1" applyBorder="1"/>
    <xf numFmtId="0" fontId="26" fillId="12" borderId="26" xfId="0" applyFont="1" applyFill="1" applyBorder="1"/>
    <xf numFmtId="0" fontId="6" fillId="12" borderId="42" xfId="0" applyFont="1" applyFill="1" applyBorder="1" applyAlignment="1">
      <alignment horizontal="center"/>
    </xf>
    <xf numFmtId="168" fontId="26" fillId="12" borderId="43" xfId="0" applyNumberFormat="1" applyFont="1" applyFill="1" applyBorder="1" applyAlignment="1">
      <alignment horizontal="center"/>
    </xf>
    <xf numFmtId="168" fontId="26" fillId="12" borderId="45" xfId="0" applyNumberFormat="1" applyFont="1" applyFill="1" applyBorder="1" applyAlignment="1">
      <alignment horizontal="center"/>
    </xf>
    <xf numFmtId="168" fontId="26" fillId="12" borderId="42" xfId="0" applyNumberFormat="1" applyFont="1" applyFill="1" applyBorder="1" applyAlignment="1">
      <alignment horizontal="center"/>
    </xf>
    <xf numFmtId="168" fontId="26" fillId="12" borderId="44" xfId="0" applyNumberFormat="1" applyFont="1" applyFill="1" applyBorder="1" applyAlignment="1">
      <alignment horizontal="center"/>
    </xf>
    <xf numFmtId="169" fontId="6" fillId="0" borderId="0" xfId="215" applyFont="1" applyFill="1" applyAlignment="1">
      <alignment horizontal="left" wrapText="1"/>
    </xf>
    <xf numFmtId="0" fontId="6" fillId="12" borderId="0" xfId="0" applyFont="1" applyFill="1" applyBorder="1"/>
    <xf numFmtId="0" fontId="6" fillId="0" borderId="0" xfId="0" applyFont="1" applyFill="1" applyBorder="1"/>
    <xf numFmtId="174" fontId="6" fillId="12" borderId="42" xfId="0" applyNumberFormat="1" applyFont="1" applyFill="1" applyBorder="1" applyAlignment="1">
      <alignment horizontal="left" wrapText="1"/>
    </xf>
    <xf numFmtId="168" fontId="6" fillId="12" borderId="43" xfId="0" applyNumberFormat="1" applyFont="1" applyFill="1" applyBorder="1" applyAlignment="1">
      <alignment horizontal="center" wrapText="1"/>
    </xf>
    <xf numFmtId="168" fontId="6" fillId="12" borderId="44" xfId="0" applyNumberFormat="1" applyFont="1" applyFill="1" applyBorder="1" applyAlignment="1">
      <alignment horizontal="left" wrapText="1"/>
    </xf>
    <xf numFmtId="43" fontId="6" fillId="0" borderId="0" xfId="2" applyFont="1"/>
    <xf numFmtId="0" fontId="6" fillId="0" borderId="0" xfId="0" applyFont="1" applyBorder="1" applyAlignment="1">
      <alignment wrapText="1"/>
    </xf>
    <xf numFmtId="0" fontId="6" fillId="4" borderId="0" xfId="0" applyFont="1" applyFill="1"/>
    <xf numFmtId="0" fontId="8" fillId="0" borderId="0" xfId="0" applyFont="1" applyBorder="1" applyAlignment="1">
      <alignment horizontal="center"/>
    </xf>
    <xf numFmtId="164" fontId="8" fillId="0" borderId="0" xfId="0" applyNumberFormat="1" applyFont="1" applyBorder="1" applyAlignment="1">
      <alignment horizontal="center"/>
    </xf>
    <xf numFmtId="0" fontId="6" fillId="0" borderId="0" xfId="0" applyFont="1" applyAlignment="1">
      <alignment horizontal="right"/>
    </xf>
    <xf numFmtId="0" fontId="18" fillId="0" borderId="4" xfId="0" applyFont="1" applyBorder="1" applyAlignment="1">
      <alignment horizontal="center"/>
    </xf>
    <xf numFmtId="0" fontId="6" fillId="0" borderId="0" xfId="0" applyFont="1" applyBorder="1" applyAlignment="1">
      <alignment horizontal="center"/>
    </xf>
    <xf numFmtId="0" fontId="6" fillId="0" borderId="3" xfId="0" applyFont="1" applyBorder="1" applyAlignment="1">
      <alignment horizontal="center"/>
    </xf>
    <xf numFmtId="0" fontId="6" fillId="3" borderId="0" xfId="0" applyFont="1" applyFill="1" applyAlignment="1">
      <alignment horizontal="center"/>
    </xf>
    <xf numFmtId="0" fontId="6" fillId="0" borderId="0" xfId="0" applyFont="1" applyAlignment="1">
      <alignment horizontal="center"/>
    </xf>
    <xf numFmtId="3" fontId="6" fillId="0" borderId="0" xfId="0" applyNumberFormat="1" applyFont="1" applyAlignment="1">
      <alignment horizontal="left"/>
    </xf>
    <xf numFmtId="0" fontId="6" fillId="0" borderId="9" xfId="0" applyFont="1" applyBorder="1" applyAlignment="1">
      <alignment horizontal="center"/>
    </xf>
    <xf numFmtId="0" fontId="6" fillId="12" borderId="11" xfId="0" applyFont="1" applyFill="1" applyBorder="1" applyAlignment="1">
      <alignment horizontal="center"/>
    </xf>
    <xf numFmtId="0" fontId="6" fillId="12" borderId="7" xfId="0" applyFont="1" applyFill="1" applyBorder="1" applyAlignment="1">
      <alignment horizontal="center"/>
    </xf>
    <xf numFmtId="0" fontId="6" fillId="0" borderId="0" xfId="0" applyFont="1" applyAlignment="1">
      <alignment horizontal="left"/>
    </xf>
    <xf numFmtId="0" fontId="18" fillId="0" borderId="0" xfId="0" applyFont="1" applyAlignment="1">
      <alignment horizontal="center"/>
    </xf>
    <xf numFmtId="0" fontId="18" fillId="12" borderId="0" xfId="0" applyFont="1" applyFill="1" applyAlignment="1">
      <alignment horizontal="center"/>
    </xf>
    <xf numFmtId="0" fontId="6" fillId="12" borderId="0" xfId="0" applyFont="1" applyFill="1" applyAlignment="1">
      <alignment horizontal="center"/>
    </xf>
    <xf numFmtId="3" fontId="6" fillId="12" borderId="0" xfId="0" applyNumberFormat="1" applyFont="1" applyFill="1" applyAlignment="1">
      <alignment horizontal="center"/>
    </xf>
    <xf numFmtId="4" fontId="6" fillId="12" borderId="0" xfId="0" applyNumberFormat="1" applyFont="1" applyFill="1" applyAlignment="1">
      <alignment horizontal="center"/>
    </xf>
    <xf numFmtId="8" fontId="18" fillId="12" borderId="0" xfId="0" applyNumberFormat="1" applyFont="1" applyFill="1" applyAlignment="1">
      <alignment horizontal="center"/>
    </xf>
    <xf numFmtId="0" fontId="6" fillId="3" borderId="2"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0" xfId="0" applyFont="1" applyFill="1" applyBorder="1" applyAlignment="1">
      <alignment horizontal="center" vertical="center"/>
    </xf>
    <xf numFmtId="181" fontId="6" fillId="0" borderId="0" xfId="0" applyNumberFormat="1" applyFont="1" applyBorder="1" applyAlignment="1">
      <alignment horizontal="center"/>
    </xf>
    <xf numFmtId="189" fontId="6" fillId="0" borderId="0" xfId="2" applyNumberFormat="1" applyFont="1" applyAlignment="1"/>
    <xf numFmtId="190" fontId="6" fillId="0" borderId="0" xfId="0" applyNumberFormat="1" applyFont="1"/>
    <xf numFmtId="181" fontId="6" fillId="0" borderId="0" xfId="0" applyNumberFormat="1" applyFont="1" applyAlignment="1">
      <alignment horizontal="center"/>
    </xf>
    <xf numFmtId="181" fontId="6" fillId="0" borderId="0" xfId="0" applyNumberFormat="1" applyFont="1"/>
    <xf numFmtId="0" fontId="6" fillId="0" borderId="25" xfId="0" applyFont="1" applyFill="1" applyBorder="1" applyAlignment="1">
      <alignment horizontal="center"/>
    </xf>
    <xf numFmtId="181" fontId="6" fillId="0" borderId="13" xfId="0" applyNumberFormat="1" applyFont="1" applyBorder="1" applyAlignment="1">
      <alignment horizontal="center"/>
    </xf>
    <xf numFmtId="0" fontId="6" fillId="0" borderId="0" xfId="0" applyFont="1" applyFill="1" applyBorder="1" applyAlignment="1">
      <alignment horizontal="center"/>
    </xf>
    <xf numFmtId="0" fontId="6" fillId="12" borderId="55" xfId="0" applyFont="1" applyFill="1" applyBorder="1" applyAlignment="1">
      <alignment horizontal="center"/>
    </xf>
    <xf numFmtId="0" fontId="6" fillId="12" borderId="56" xfId="0" applyFont="1" applyFill="1" applyBorder="1" applyAlignment="1">
      <alignment horizontal="center"/>
    </xf>
    <xf numFmtId="2" fontId="6" fillId="12" borderId="56" xfId="0" applyNumberFormat="1" applyFont="1" applyFill="1" applyBorder="1" applyAlignment="1">
      <alignment horizont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12" borderId="58" xfId="0" applyFont="1" applyFill="1" applyBorder="1" applyAlignment="1">
      <alignment horizontal="center"/>
    </xf>
    <xf numFmtId="2" fontId="6" fillId="12" borderId="58" xfId="0" applyNumberFormat="1" applyFont="1" applyFill="1" applyBorder="1" applyAlignment="1">
      <alignment horizontal="center"/>
    </xf>
    <xf numFmtId="0" fontId="6" fillId="12" borderId="55" xfId="0" applyFont="1" applyFill="1" applyBorder="1" applyAlignment="1">
      <alignment horizontal="left"/>
    </xf>
    <xf numFmtId="2" fontId="6" fillId="12" borderId="55" xfId="2" applyNumberFormat="1" applyFont="1" applyFill="1" applyBorder="1" applyAlignment="1">
      <alignment horizontal="center"/>
    </xf>
    <xf numFmtId="0" fontId="6" fillId="0" borderId="0" xfId="0" applyFont="1" applyBorder="1" applyAlignment="1">
      <alignment horizontal="center" vertical="center"/>
    </xf>
    <xf numFmtId="0" fontId="6" fillId="12" borderId="56" xfId="0" applyFont="1" applyFill="1" applyBorder="1" applyAlignment="1">
      <alignment horizontal="left"/>
    </xf>
    <xf numFmtId="2" fontId="6" fillId="12" borderId="56" xfId="2" applyNumberFormat="1" applyFont="1" applyFill="1" applyBorder="1" applyAlignment="1">
      <alignment horizontal="center"/>
    </xf>
    <xf numFmtId="0" fontId="6" fillId="12" borderId="57" xfId="0" applyFont="1" applyFill="1" applyBorder="1" applyAlignment="1">
      <alignment horizontal="left"/>
    </xf>
    <xf numFmtId="2" fontId="6" fillId="12" borderId="57" xfId="0" applyNumberFormat="1" applyFont="1" applyFill="1" applyBorder="1" applyAlignment="1">
      <alignment horizontal="center"/>
    </xf>
    <xf numFmtId="0" fontId="6" fillId="12" borderId="48" xfId="0" applyFont="1" applyFill="1" applyBorder="1" applyAlignment="1">
      <alignment horizontal="left"/>
    </xf>
    <xf numFmtId="2" fontId="6" fillId="12" borderId="50" xfId="0" applyNumberFormat="1" applyFont="1" applyFill="1" applyBorder="1" applyAlignment="1">
      <alignment horizontal="center"/>
    </xf>
    <xf numFmtId="2" fontId="6" fillId="12" borderId="54" xfId="0" applyNumberFormat="1" applyFont="1" applyFill="1" applyBorder="1" applyAlignment="1">
      <alignment horizontal="center"/>
    </xf>
    <xf numFmtId="0" fontId="6" fillId="12" borderId="48" xfId="0" applyFont="1" applyFill="1" applyBorder="1"/>
    <xf numFmtId="0" fontId="6" fillId="12" borderId="46" xfId="0" applyFont="1" applyFill="1" applyBorder="1" applyAlignment="1">
      <alignment horizontal="center"/>
    </xf>
    <xf numFmtId="0" fontId="6" fillId="12" borderId="11" xfId="0" applyFont="1" applyFill="1" applyBorder="1"/>
    <xf numFmtId="2" fontId="6" fillId="12" borderId="4" xfId="0" applyNumberFormat="1" applyFont="1" applyFill="1" applyBorder="1" applyAlignment="1">
      <alignment horizontal="center"/>
    </xf>
    <xf numFmtId="2" fontId="6" fillId="12" borderId="47" xfId="0" applyNumberFormat="1" applyFont="1" applyFill="1" applyBorder="1" applyAlignment="1">
      <alignment horizontal="center"/>
    </xf>
    <xf numFmtId="2" fontId="6" fillId="12" borderId="41" xfId="0" applyNumberFormat="1" applyFont="1" applyFill="1" applyBorder="1" applyAlignment="1">
      <alignment horizontal="center"/>
    </xf>
    <xf numFmtId="0" fontId="6" fillId="12" borderId="41" xfId="0" applyFont="1" applyFill="1" applyBorder="1"/>
    <xf numFmtId="8" fontId="6" fillId="0" borderId="0" xfId="0" applyNumberFormat="1" applyFont="1"/>
    <xf numFmtId="8" fontId="6" fillId="12" borderId="4" xfId="0" applyNumberFormat="1" applyFont="1" applyFill="1" applyBorder="1"/>
    <xf numFmtId="0" fontId="6" fillId="12" borderId="4" xfId="0" applyFont="1" applyFill="1" applyBorder="1"/>
    <xf numFmtId="0" fontId="6" fillId="0" borderId="28" xfId="0" applyFont="1" applyBorder="1" applyAlignment="1">
      <alignment wrapText="1"/>
    </xf>
    <xf numFmtId="0" fontId="6" fillId="0" borderId="0" xfId="0" applyFont="1" applyAlignment="1">
      <alignment wrapText="1"/>
    </xf>
    <xf numFmtId="0" fontId="6" fillId="0" borderId="22" xfId="0" applyFont="1" applyBorder="1" applyAlignment="1">
      <alignment wrapText="1"/>
    </xf>
    <xf numFmtId="0" fontId="6" fillId="12" borderId="43" xfId="0" applyFont="1" applyFill="1" applyBorder="1"/>
    <xf numFmtId="0" fontId="6" fillId="12" borderId="43" xfId="0" applyFont="1" applyFill="1" applyBorder="1" applyAlignment="1">
      <alignment horizontal="center"/>
    </xf>
    <xf numFmtId="2" fontId="6" fillId="12" borderId="43" xfId="0" applyNumberFormat="1" applyFont="1" applyFill="1" applyBorder="1" applyAlignment="1">
      <alignment horizontal="center"/>
    </xf>
    <xf numFmtId="0" fontId="6" fillId="12" borderId="44" xfId="0" applyFont="1" applyFill="1" applyBorder="1"/>
    <xf numFmtId="1" fontId="6" fillId="0" borderId="0" xfId="0" applyNumberFormat="1" applyFont="1" applyBorder="1" applyAlignment="1">
      <alignment horizontal="center"/>
    </xf>
    <xf numFmtId="3" fontId="6" fillId="0" borderId="12" xfId="0" applyNumberFormat="1" applyFont="1" applyBorder="1" applyAlignment="1">
      <alignment horizontal="center"/>
    </xf>
    <xf numFmtId="0" fontId="6" fillId="0" borderId="6" xfId="0" applyFont="1" applyBorder="1"/>
    <xf numFmtId="0" fontId="18" fillId="0" borderId="18" xfId="0" applyFont="1" applyBorder="1" applyAlignment="1">
      <alignment horizontal="center"/>
    </xf>
    <xf numFmtId="0" fontId="18" fillId="0" borderId="16" xfId="0" applyFont="1" applyBorder="1" applyAlignment="1">
      <alignment horizontal="center"/>
    </xf>
    <xf numFmtId="0" fontId="18" fillId="0" borderId="18" xfId="0" applyFont="1" applyBorder="1" applyAlignment="1"/>
    <xf numFmtId="0" fontId="18" fillId="0" borderId="23" xfId="0" applyFont="1" applyBorder="1" applyAlignment="1">
      <alignment horizontal="center"/>
    </xf>
    <xf numFmtId="0" fontId="18" fillId="0" borderId="22" xfId="0" applyFont="1" applyBorder="1" applyAlignment="1">
      <alignment horizontal="center"/>
    </xf>
    <xf numFmtId="0" fontId="18" fillId="0" borderId="20" xfId="0" applyFont="1" applyBorder="1" applyAlignment="1"/>
    <xf numFmtId="0" fontId="18" fillId="0" borderId="19" xfId="0" applyFont="1" applyBorder="1" applyAlignment="1">
      <alignment horizontal="center"/>
    </xf>
    <xf numFmtId="0" fontId="18" fillId="0" borderId="34" xfId="0" applyFont="1" applyBorder="1" applyAlignment="1">
      <alignment horizontal="center"/>
    </xf>
    <xf numFmtId="0" fontId="18" fillId="0" borderId="31" xfId="0" applyFont="1" applyBorder="1" applyAlignment="1">
      <alignment horizontal="center"/>
    </xf>
    <xf numFmtId="1" fontId="6" fillId="0" borderId="27" xfId="0" applyNumberFormat="1" applyFont="1" applyBorder="1" applyAlignment="1">
      <alignment horizontal="center"/>
    </xf>
    <xf numFmtId="181" fontId="6" fillId="0" borderId="27" xfId="0" applyNumberFormat="1" applyFont="1" applyBorder="1" applyAlignment="1">
      <alignment horizontal="center"/>
    </xf>
    <xf numFmtId="1" fontId="6" fillId="0" borderId="32" xfId="0" applyNumberFormat="1" applyFont="1" applyBorder="1" applyAlignment="1">
      <alignment horizontal="center"/>
    </xf>
    <xf numFmtId="1" fontId="6" fillId="0" borderId="35" xfId="0" applyNumberFormat="1" applyFont="1" applyBorder="1" applyAlignment="1">
      <alignment horizontal="center"/>
    </xf>
    <xf numFmtId="181" fontId="6" fillId="0" borderId="35" xfId="0" applyNumberFormat="1" applyFont="1" applyBorder="1" applyAlignment="1">
      <alignment horizontal="center"/>
    </xf>
    <xf numFmtId="1" fontId="6" fillId="0" borderId="33" xfId="0" applyNumberFormat="1" applyFont="1" applyBorder="1" applyAlignment="1">
      <alignment horizontal="center"/>
    </xf>
    <xf numFmtId="1" fontId="18" fillId="0" borderId="34" xfId="0" applyNumberFormat="1" applyFont="1" applyBorder="1" applyAlignment="1">
      <alignment horizontal="center"/>
    </xf>
    <xf numFmtId="181" fontId="18" fillId="0" borderId="34" xfId="0" applyNumberFormat="1" applyFont="1" applyBorder="1" applyAlignment="1">
      <alignment horizontal="center"/>
    </xf>
    <xf numFmtId="181" fontId="6" fillId="0" borderId="25" xfId="0" applyNumberFormat="1" applyFont="1" applyBorder="1" applyAlignment="1">
      <alignment horizontal="center"/>
    </xf>
    <xf numFmtId="2" fontId="6" fillId="0" borderId="14" xfId="0" applyNumberFormat="1" applyFont="1" applyBorder="1" applyAlignment="1">
      <alignment horizontal="center"/>
    </xf>
    <xf numFmtId="181" fontId="6" fillId="0" borderId="14" xfId="0" applyNumberFormat="1" applyFont="1" applyBorder="1" applyAlignment="1">
      <alignment horizontal="center"/>
    </xf>
    <xf numFmtId="0" fontId="6" fillId="0" borderId="13" xfId="0" applyFont="1" applyBorder="1"/>
    <xf numFmtId="0" fontId="6" fillId="0" borderId="4" xfId="0" applyFont="1" applyBorder="1" applyAlignment="1">
      <alignment horizontal="center"/>
    </xf>
    <xf numFmtId="0" fontId="18" fillId="3" borderId="2" xfId="0" applyFont="1" applyFill="1" applyBorder="1" applyAlignment="1">
      <alignment vertical="center"/>
    </xf>
    <xf numFmtId="0" fontId="18" fillId="0" borderId="16" xfId="0" applyFont="1" applyBorder="1" applyAlignment="1">
      <alignment horizontal="center" vertical="center" wrapText="1"/>
    </xf>
    <xf numFmtId="0" fontId="18" fillId="0" borderId="22" xfId="0" applyFont="1" applyBorder="1" applyAlignment="1">
      <alignment horizontal="center" vertical="center" wrapText="1"/>
    </xf>
    <xf numFmtId="187" fontId="6" fillId="0" borderId="0" xfId="0" applyNumberFormat="1" applyFont="1" applyBorder="1" applyAlignment="1">
      <alignment horizontal="center"/>
    </xf>
    <xf numFmtId="187" fontId="6" fillId="0" borderId="1" xfId="0" applyNumberFormat="1" applyFont="1" applyBorder="1" applyAlignment="1">
      <alignment horizontal="center"/>
    </xf>
    <xf numFmtId="0" fontId="18" fillId="0" borderId="25" xfId="0" applyFont="1" applyBorder="1" applyAlignment="1">
      <alignment horizontal="center"/>
    </xf>
    <xf numFmtId="187" fontId="18" fillId="0" borderId="14" xfId="0" applyNumberFormat="1" applyFont="1" applyFill="1" applyBorder="1" applyAlignment="1">
      <alignment horizontal="center"/>
    </xf>
    <xf numFmtId="0" fontId="18" fillId="0" borderId="13" xfId="0" applyFont="1" applyBorder="1" applyAlignment="1">
      <alignment horizontal="center"/>
    </xf>
    <xf numFmtId="187" fontId="18" fillId="0" borderId="0" xfId="0" applyNumberFormat="1" applyFont="1" applyFill="1" applyBorder="1" applyAlignment="1">
      <alignment horizontal="center"/>
    </xf>
    <xf numFmtId="187" fontId="18" fillId="0" borderId="0" xfId="0" applyNumberFormat="1" applyFont="1" applyBorder="1" applyAlignment="1">
      <alignment horizontal="center"/>
    </xf>
    <xf numFmtId="187" fontId="6" fillId="0" borderId="4" xfId="0" applyNumberFormat="1" applyFont="1" applyBorder="1" applyAlignment="1">
      <alignment horizontal="center"/>
    </xf>
    <xf numFmtId="0" fontId="6" fillId="0" borderId="28" xfId="0" applyFont="1" applyBorder="1" applyAlignment="1">
      <alignment horizontal="right" vertical="center"/>
    </xf>
    <xf numFmtId="0" fontId="6" fillId="0" borderId="29" xfId="0" applyFont="1" applyBorder="1" applyAlignment="1">
      <alignment vertical="center"/>
    </xf>
    <xf numFmtId="0" fontId="6" fillId="0" borderId="4" xfId="0" applyFont="1" applyBorder="1" applyAlignment="1"/>
    <xf numFmtId="0" fontId="6" fillId="0" borderId="7" xfId="0" applyFont="1" applyBorder="1" applyAlignment="1">
      <alignment horizontal="right" vertical="center"/>
    </xf>
    <xf numFmtId="0" fontId="6" fillId="0" borderId="8" xfId="0" applyFont="1"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vertical="center"/>
    </xf>
    <xf numFmtId="3" fontId="6" fillId="0" borderId="4" xfId="0" applyNumberFormat="1" applyFont="1" applyFill="1" applyBorder="1" applyAlignment="1"/>
    <xf numFmtId="0" fontId="6" fillId="0" borderId="4" xfId="0" applyFont="1" applyBorder="1" applyAlignment="1">
      <alignment vertical="center"/>
    </xf>
    <xf numFmtId="3" fontId="6" fillId="0" borderId="4" xfId="0" applyNumberFormat="1" applyFont="1" applyFill="1" applyBorder="1" applyAlignment="1">
      <alignment vertical="center"/>
    </xf>
    <xf numFmtId="0" fontId="6" fillId="0" borderId="4" xfId="0" applyFont="1" applyBorder="1" applyAlignment="1">
      <alignment horizontal="left" vertical="center"/>
    </xf>
    <xf numFmtId="0" fontId="6" fillId="0" borderId="0" xfId="0" applyFont="1" applyBorder="1" applyAlignment="1">
      <alignment shrinkToFit="1"/>
    </xf>
    <xf numFmtId="3" fontId="6" fillId="0" borderId="4" xfId="0" applyNumberFormat="1" applyFont="1" applyBorder="1"/>
    <xf numFmtId="3" fontId="18" fillId="0" borderId="4" xfId="0" applyNumberFormat="1" applyFont="1" applyBorder="1" applyAlignment="1">
      <alignment horizontal="center"/>
    </xf>
    <xf numFmtId="3" fontId="6" fillId="0" borderId="4" xfId="0" applyNumberFormat="1" applyFont="1" applyBorder="1" applyAlignment="1">
      <alignment horizontal="center"/>
    </xf>
    <xf numFmtId="181" fontId="6" fillId="0" borderId="4" xfId="0" applyNumberFormat="1" applyFont="1" applyBorder="1" applyAlignment="1">
      <alignment horizontal="center"/>
    </xf>
    <xf numFmtId="2" fontId="6" fillId="0" borderId="4" xfId="0" applyNumberFormat="1" applyFont="1" applyBorder="1" applyAlignment="1">
      <alignment horizontal="center"/>
    </xf>
    <xf numFmtId="0" fontId="18" fillId="0" borderId="52" xfId="0" applyFont="1" applyBorder="1" applyAlignment="1">
      <alignment horizontal="center"/>
    </xf>
    <xf numFmtId="1" fontId="18" fillId="0" borderId="52" xfId="0" applyNumberFormat="1" applyFont="1" applyBorder="1" applyAlignment="1">
      <alignment horizontal="center"/>
    </xf>
    <xf numFmtId="0" fontId="18" fillId="0" borderId="53" xfId="0" applyFont="1" applyBorder="1"/>
    <xf numFmtId="0" fontId="18" fillId="0" borderId="43" xfId="0" applyFont="1" applyBorder="1" applyAlignment="1">
      <alignment horizontal="center"/>
    </xf>
    <xf numFmtId="1" fontId="18" fillId="0" borderId="43" xfId="0" applyNumberFormat="1" applyFont="1" applyBorder="1" applyAlignment="1">
      <alignment horizontal="center"/>
    </xf>
    <xf numFmtId="0" fontId="18" fillId="0" borderId="44" xfId="0" applyFont="1" applyBorder="1"/>
    <xf numFmtId="9" fontId="6" fillId="0" borderId="13" xfId="0" applyNumberFormat="1" applyFont="1" applyBorder="1"/>
    <xf numFmtId="191" fontId="6" fillId="0" borderId="13" xfId="0" applyNumberFormat="1" applyFont="1" applyBorder="1" applyAlignment="1">
      <alignment horizontal="center"/>
    </xf>
    <xf numFmtId="0" fontId="6" fillId="0" borderId="14" xfId="0" quotePrefix="1" applyFont="1" applyBorder="1" applyAlignment="1">
      <alignment horizontal="center"/>
    </xf>
    <xf numFmtId="174" fontId="6" fillId="0" borderId="13" xfId="1" applyNumberFormat="1" applyFont="1" applyBorder="1" applyAlignment="1">
      <alignment horizontal="center"/>
    </xf>
    <xf numFmtId="174" fontId="6" fillId="0" borderId="13" xfId="1" applyNumberFormat="1" applyFont="1" applyBorder="1" applyAlignment="1">
      <alignment horizontal="left"/>
    </xf>
    <xf numFmtId="0" fontId="6" fillId="0" borderId="14" xfId="0" applyFont="1" applyBorder="1"/>
    <xf numFmtId="10" fontId="6" fillId="0" borderId="13" xfId="1" applyNumberFormat="1" applyFont="1" applyBorder="1"/>
    <xf numFmtId="10" fontId="6" fillId="0" borderId="13" xfId="0" applyNumberFormat="1" applyFont="1" applyBorder="1"/>
    <xf numFmtId="0" fontId="6" fillId="0" borderId="0" xfId="0" applyFont="1" applyBorder="1" applyAlignment="1">
      <alignment horizontal="left"/>
    </xf>
    <xf numFmtId="10" fontId="6" fillId="0" borderId="0" xfId="0" applyNumberFormat="1" applyFont="1" applyBorder="1"/>
    <xf numFmtId="181" fontId="6" fillId="0" borderId="14" xfId="0" applyNumberFormat="1" applyFont="1" applyBorder="1"/>
    <xf numFmtId="4" fontId="6" fillId="0" borderId="0" xfId="0" applyNumberFormat="1" applyFont="1"/>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18" fillId="0" borderId="0" xfId="0" applyFont="1" applyFill="1" applyBorder="1" applyAlignment="1">
      <alignment horizontal="left" vertical="center"/>
    </xf>
    <xf numFmtId="0" fontId="18" fillId="0" borderId="21" xfId="0" applyFont="1" applyBorder="1" applyAlignment="1">
      <alignment horizontal="center"/>
    </xf>
    <xf numFmtId="0" fontId="18" fillId="0" borderId="24" xfId="0" applyFont="1" applyBorder="1" applyAlignment="1">
      <alignment horizontal="center"/>
    </xf>
    <xf numFmtId="0" fontId="18" fillId="0" borderId="15" xfId="0" applyFont="1" applyBorder="1" applyAlignment="1">
      <alignment horizontal="center"/>
    </xf>
    <xf numFmtId="0" fontId="31" fillId="0" borderId="0" xfId="0" applyFont="1" applyAlignment="1">
      <alignment horizontal="left" vertical="center" wrapText="1"/>
    </xf>
    <xf numFmtId="0" fontId="31" fillId="0" borderId="0" xfId="0" applyFont="1" applyBorder="1" applyAlignment="1"/>
    <xf numFmtId="0" fontId="33" fillId="0" borderId="4" xfId="0" applyFont="1" applyBorder="1" applyAlignment="1">
      <alignment horizontal="center" vertical="center" wrapText="1"/>
    </xf>
    <xf numFmtId="0" fontId="31" fillId="0" borderId="4" xfId="0" applyFont="1" applyBorder="1" applyAlignment="1">
      <alignment horizontal="center"/>
    </xf>
    <xf numFmtId="0" fontId="31" fillId="0" borderId="4" xfId="0" applyFont="1" applyBorder="1" applyAlignment="1">
      <alignment horizontal="center" vertical="center"/>
    </xf>
    <xf numFmtId="0" fontId="33" fillId="3" borderId="0" xfId="0" applyFont="1" applyFill="1" applyBorder="1" applyAlignment="1">
      <alignment vertical="center"/>
    </xf>
    <xf numFmtId="0" fontId="31" fillId="3" borderId="0" xfId="0" applyFont="1" applyFill="1" applyBorder="1" applyAlignment="1">
      <alignment vertical="center"/>
    </xf>
    <xf numFmtId="0" fontId="33" fillId="0" borderId="0" xfId="0" applyFont="1"/>
    <xf numFmtId="0" fontId="33" fillId="0" borderId="4" xfId="0" applyFont="1" applyBorder="1" applyAlignment="1">
      <alignment horizontal="center"/>
    </xf>
    <xf numFmtId="0" fontId="31" fillId="0" borderId="0" xfId="0" applyFont="1"/>
    <xf numFmtId="0" fontId="31" fillId="0" borderId="0" xfId="0" applyFont="1" applyAlignment="1">
      <alignment vertical="center"/>
    </xf>
    <xf numFmtId="0" fontId="33" fillId="0" borderId="4" xfId="0" applyFont="1" applyBorder="1"/>
    <xf numFmtId="0" fontId="33" fillId="0" borderId="0" xfId="0" applyFont="1" applyAlignment="1">
      <alignment horizontal="left" vertical="center"/>
    </xf>
    <xf numFmtId="0" fontId="33" fillId="0" borderId="0" xfId="0" applyFont="1" applyAlignment="1">
      <alignment horizontal="left" vertical="center" wrapText="1"/>
    </xf>
    <xf numFmtId="0" fontId="33" fillId="0" borderId="0" xfId="0" applyFont="1" applyAlignment="1">
      <alignment horizontal="center" vertical="center" wrapText="1"/>
    </xf>
    <xf numFmtId="0" fontId="33" fillId="0" borderId="0" xfId="0" applyFont="1" applyBorder="1" applyAlignment="1"/>
    <xf numFmtId="0" fontId="33" fillId="3" borderId="14" xfId="0" applyFont="1" applyFill="1" applyBorder="1" applyAlignment="1">
      <alignment horizontal="center" vertical="center" wrapText="1"/>
    </xf>
    <xf numFmtId="0" fontId="31" fillId="3" borderId="0" xfId="0" applyFont="1" applyFill="1" applyAlignment="1">
      <alignment vertical="center"/>
    </xf>
    <xf numFmtId="0" fontId="33" fillId="3" borderId="0" xfId="0" applyFont="1" applyFill="1" applyBorder="1" applyAlignment="1">
      <alignment vertical="center" wrapText="1"/>
    </xf>
    <xf numFmtId="3" fontId="6" fillId="3" borderId="24" xfId="0" applyNumberFormat="1" applyFont="1" applyFill="1" applyBorder="1" applyAlignment="1">
      <alignment horizontal="center"/>
    </xf>
    <xf numFmtId="3" fontId="11" fillId="3" borderId="0" xfId="0" applyNumberFormat="1" applyFont="1" applyFill="1" applyBorder="1" applyAlignment="1">
      <alignment horizontal="center" vertical="center" wrapText="1"/>
    </xf>
    <xf numFmtId="0" fontId="34" fillId="3" borderId="0" xfId="0" applyFont="1" applyFill="1" applyAlignment="1">
      <alignment vertical="center"/>
    </xf>
    <xf numFmtId="0" fontId="18" fillId="3" borderId="14" xfId="0" applyFont="1" applyFill="1" applyBorder="1" applyAlignment="1">
      <alignment horizontal="center" vertical="center" wrapText="1"/>
    </xf>
    <xf numFmtId="0" fontId="34" fillId="3" borderId="22" xfId="0" applyFont="1" applyFill="1" applyBorder="1" applyAlignment="1">
      <alignment horizontal="left" vertical="center"/>
    </xf>
    <xf numFmtId="0" fontId="34" fillId="0" borderId="0" xfId="0" applyFont="1"/>
    <xf numFmtId="0" fontId="18" fillId="0" borderId="14" xfId="0" applyFont="1" applyFill="1" applyBorder="1" applyAlignment="1">
      <alignment horizontal="center" vertical="center" wrapText="1"/>
    </xf>
    <xf numFmtId="0" fontId="34" fillId="3" borderId="0" xfId="0" applyFont="1" applyFill="1"/>
    <xf numFmtId="0" fontId="18" fillId="3" borderId="19"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2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34" fillId="3" borderId="24" xfId="0" applyFont="1" applyFill="1" applyBorder="1" applyAlignment="1">
      <alignment horizontal="center" vertical="center" wrapText="1"/>
    </xf>
    <xf numFmtId="0" fontId="34" fillId="3" borderId="0" xfId="0" applyFont="1" applyFill="1" applyAlignment="1">
      <alignment horizontal="center" vertical="center" wrapText="1"/>
    </xf>
    <xf numFmtId="0" fontId="34" fillId="3" borderId="21"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4" fillId="3" borderId="0" xfId="0" applyFont="1" applyFill="1" applyAlignment="1"/>
    <xf numFmtId="0" fontId="34" fillId="8" borderId="4" xfId="0" applyFont="1" applyFill="1" applyBorder="1" applyAlignment="1">
      <alignment horizontal="center"/>
    </xf>
    <xf numFmtId="0" fontId="18" fillId="3" borderId="0" xfId="0" applyFont="1" applyFill="1" applyAlignment="1">
      <alignment horizontal="left" wrapText="1"/>
    </xf>
    <xf numFmtId="0" fontId="31" fillId="3" borderId="0" xfId="0" applyFont="1" applyFill="1" applyBorder="1"/>
    <xf numFmtId="3" fontId="34" fillId="3" borderId="0" xfId="0" applyNumberFormat="1" applyFont="1" applyFill="1" applyAlignment="1">
      <alignment horizontal="center" vertical="center" wrapText="1"/>
    </xf>
    <xf numFmtId="0" fontId="34" fillId="0" borderId="0" xfId="0" applyFont="1" applyBorder="1"/>
    <xf numFmtId="0" fontId="31" fillId="0" borderId="0" xfId="0" applyFont="1" applyBorder="1"/>
    <xf numFmtId="0" fontId="34" fillId="0" borderId="0" xfId="0" applyFont="1" applyAlignment="1">
      <alignment horizontal="left" wrapText="1"/>
    </xf>
    <xf numFmtId="0" fontId="34" fillId="3" borderId="0" xfId="0" applyFont="1" applyFill="1" applyAlignment="1">
      <alignment horizontal="center" vertical="center" wrapText="1"/>
    </xf>
    <xf numFmtId="0" fontId="34" fillId="3" borderId="1" xfId="0" applyFont="1" applyFill="1" applyBorder="1" applyAlignment="1">
      <alignment horizontal="center" vertical="center" wrapText="1"/>
    </xf>
    <xf numFmtId="0" fontId="34" fillId="3" borderId="22" xfId="0" applyFont="1" applyFill="1" applyBorder="1" applyAlignment="1">
      <alignment horizontal="center" vertical="center" wrapText="1"/>
    </xf>
    <xf numFmtId="0" fontId="34" fillId="3" borderId="16" xfId="0" applyFont="1" applyFill="1" applyBorder="1" applyAlignment="1">
      <alignment horizontal="center" vertical="center" wrapText="1"/>
    </xf>
    <xf numFmtId="0" fontId="34" fillId="3" borderId="15" xfId="0" applyFont="1" applyFill="1" applyBorder="1" applyAlignment="1">
      <alignment horizontal="center" vertical="center" wrapText="1"/>
    </xf>
    <xf numFmtId="3" fontId="11" fillId="0" borderId="26" xfId="0" applyNumberFormat="1" applyFont="1" applyBorder="1" applyAlignment="1">
      <alignment horizontal="center"/>
    </xf>
    <xf numFmtId="3" fontId="11" fillId="0" borderId="12" xfId="0" applyNumberFormat="1" applyFont="1" applyBorder="1" applyAlignment="1">
      <alignment horizontal="center"/>
    </xf>
    <xf numFmtId="3" fontId="11" fillId="0" borderId="6" xfId="0" applyNumberFormat="1" applyFont="1" applyBorder="1" applyAlignment="1">
      <alignment horizontal="center"/>
    </xf>
    <xf numFmtId="3" fontId="6" fillId="0" borderId="26" xfId="0" applyNumberFormat="1" applyFont="1" applyBorder="1" applyAlignment="1">
      <alignment horizontal="center"/>
    </xf>
    <xf numFmtId="3" fontId="6" fillId="0" borderId="6" xfId="0" applyNumberFormat="1" applyFont="1" applyBorder="1" applyAlignment="1">
      <alignment horizontal="center"/>
    </xf>
    <xf numFmtId="0" fontId="34" fillId="0" borderId="1" xfId="0" applyFont="1" applyBorder="1" applyAlignment="1">
      <alignment horizontal="center" vertical="center"/>
    </xf>
    <xf numFmtId="0" fontId="34" fillId="0" borderId="15" xfId="0" applyFont="1" applyBorder="1" applyAlignment="1">
      <alignment horizontal="center" vertical="center"/>
    </xf>
    <xf numFmtId="0" fontId="34" fillId="0" borderId="22" xfId="0" applyFont="1" applyBorder="1" applyAlignment="1">
      <alignment vertical="center"/>
    </xf>
    <xf numFmtId="9" fontId="34" fillId="0" borderId="19" xfId="0" applyNumberFormat="1" applyFont="1" applyBorder="1" applyAlignment="1">
      <alignment horizontal="center" vertical="center"/>
    </xf>
    <xf numFmtId="9" fontId="34" fillId="0" borderId="2" xfId="0" applyNumberFormat="1" applyFont="1" applyBorder="1" applyAlignment="1">
      <alignment horizontal="center" vertical="center"/>
    </xf>
    <xf numFmtId="9" fontId="34" fillId="0" borderId="16" xfId="0" applyNumberFormat="1" applyFont="1" applyBorder="1" applyAlignment="1">
      <alignment horizontal="center" vertical="center"/>
    </xf>
    <xf numFmtId="0" fontId="34" fillId="0" borderId="0" xfId="0" applyFont="1" applyAlignment="1">
      <alignment horizontal="center" vertical="center"/>
    </xf>
    <xf numFmtId="9" fontId="34" fillId="0" borderId="24" xfId="0" applyNumberFormat="1" applyFont="1" applyBorder="1" applyAlignment="1">
      <alignment horizontal="center" vertical="center"/>
    </xf>
    <xf numFmtId="9" fontId="34" fillId="0" borderId="0" xfId="0" applyNumberFormat="1" applyFont="1" applyAlignment="1">
      <alignment horizontal="center" vertical="center"/>
    </xf>
    <xf numFmtId="9" fontId="34" fillId="0" borderId="22" xfId="0" applyNumberFormat="1" applyFont="1" applyBorder="1" applyAlignment="1">
      <alignment horizontal="center" vertical="center"/>
    </xf>
    <xf numFmtId="0" fontId="34" fillId="0" borderId="15" xfId="0" applyFont="1" applyBorder="1" applyAlignment="1">
      <alignment vertical="center"/>
    </xf>
    <xf numFmtId="9" fontId="34" fillId="0" borderId="1" xfId="0" applyNumberFormat="1" applyFont="1" applyBorder="1" applyAlignment="1">
      <alignment horizontal="center" vertical="center"/>
    </xf>
    <xf numFmtId="9" fontId="34" fillId="0" borderId="15" xfId="0" applyNumberFormat="1" applyFont="1" applyBorder="1" applyAlignment="1">
      <alignment horizontal="center" vertical="center"/>
    </xf>
    <xf numFmtId="0" fontId="34" fillId="0" borderId="1" xfId="0" applyFont="1" applyBorder="1" applyAlignment="1">
      <alignment horizontal="center" vertical="center" wrapText="1"/>
    </xf>
    <xf numFmtId="0" fontId="34" fillId="0" borderId="19" xfId="0" applyFont="1" applyBorder="1" applyAlignment="1">
      <alignment horizontal="center" vertical="center"/>
    </xf>
    <xf numFmtId="0" fontId="34" fillId="0" borderId="2" xfId="0" applyFont="1" applyBorder="1" applyAlignment="1">
      <alignment horizontal="center" vertical="center"/>
    </xf>
    <xf numFmtId="0" fontId="34" fillId="0" borderId="16" xfId="0" applyFont="1" applyBorder="1" applyAlignment="1">
      <alignment horizontal="center" vertical="center"/>
    </xf>
    <xf numFmtId="0" fontId="34" fillId="0" borderId="0" xfId="0" applyFont="1" applyAlignment="1">
      <alignment horizontal="center" vertical="center" wrapText="1"/>
    </xf>
    <xf numFmtId="0" fontId="34" fillId="0" borderId="24" xfId="0" applyFont="1" applyBorder="1" applyAlignment="1">
      <alignment horizontal="center" vertical="center"/>
    </xf>
    <xf numFmtId="0" fontId="34" fillId="0" borderId="22" xfId="0" applyFont="1" applyBorder="1" applyAlignment="1">
      <alignment horizontal="center" vertical="center"/>
    </xf>
    <xf numFmtId="0" fontId="34" fillId="0" borderId="0" xfId="0" applyFont="1" applyAlignment="1">
      <alignment horizontal="left" vertical="center"/>
    </xf>
    <xf numFmtId="0" fontId="34" fillId="0" borderId="22" xfId="0" applyFont="1" applyBorder="1" applyAlignment="1">
      <alignment vertical="center" wrapText="1"/>
    </xf>
    <xf numFmtId="0" fontId="34" fillId="3" borderId="22" xfId="0" applyFont="1" applyFill="1" applyBorder="1" applyAlignment="1">
      <alignment horizontal="justify" vertical="center" wrapText="1"/>
    </xf>
    <xf numFmtId="9" fontId="34" fillId="3" borderId="0" xfId="1" applyFont="1" applyFill="1" applyAlignment="1">
      <alignment horizontal="center" vertical="center" wrapText="1"/>
    </xf>
    <xf numFmtId="0" fontId="34" fillId="3" borderId="15" xfId="0" applyFont="1" applyFill="1" applyBorder="1" applyAlignment="1">
      <alignment horizontal="justify" vertical="center" wrapText="1"/>
    </xf>
    <xf numFmtId="174" fontId="34" fillId="3" borderId="1" xfId="1" applyNumberFormat="1" applyFont="1" applyFill="1" applyBorder="1" applyAlignment="1">
      <alignment horizontal="center" vertical="center" wrapText="1"/>
    </xf>
    <xf numFmtId="0" fontId="34" fillId="3" borderId="14" xfId="0" applyFont="1" applyFill="1" applyBorder="1" applyAlignment="1">
      <alignment horizontal="left" vertical="center" wrapText="1"/>
    </xf>
    <xf numFmtId="0" fontId="34" fillId="3" borderId="14" xfId="0" applyFont="1" applyFill="1" applyBorder="1" applyAlignment="1">
      <alignment horizontal="center" vertical="center" wrapText="1"/>
    </xf>
    <xf numFmtId="9" fontId="34" fillId="3" borderId="1" xfId="0" applyNumberFormat="1" applyFont="1" applyFill="1" applyBorder="1" applyAlignment="1">
      <alignment horizontal="center" vertical="center" wrapText="1"/>
    </xf>
    <xf numFmtId="0" fontId="34" fillId="3" borderId="0" xfId="0" applyFont="1" applyFill="1" applyAlignment="1">
      <alignment horizontal="left" vertical="center"/>
    </xf>
    <xf numFmtId="0" fontId="34" fillId="0" borderId="14" xfId="0" applyFont="1" applyFill="1" applyBorder="1" applyAlignment="1">
      <alignment horizontal="left" vertical="center" wrapText="1"/>
    </xf>
    <xf numFmtId="0" fontId="34" fillId="0" borderId="14" xfId="0" applyFont="1" applyFill="1" applyBorder="1" applyAlignment="1">
      <alignment horizontal="center" vertical="center" wrapText="1"/>
    </xf>
    <xf numFmtId="0" fontId="34" fillId="0" borderId="22" xfId="0" applyFont="1" applyFill="1" applyBorder="1" applyAlignment="1">
      <alignment horizontal="justify" vertical="center" wrapText="1"/>
    </xf>
    <xf numFmtId="3" fontId="34" fillId="0" borderId="0" xfId="0" applyNumberFormat="1" applyFont="1" applyFill="1" applyAlignment="1">
      <alignment horizontal="center" vertical="center" wrapText="1"/>
    </xf>
    <xf numFmtId="4" fontId="34" fillId="0" borderId="0" xfId="0" applyNumberFormat="1" applyFont="1" applyFill="1" applyAlignment="1">
      <alignment horizontal="center" vertical="center" wrapText="1"/>
    </xf>
    <xf numFmtId="0" fontId="34" fillId="0" borderId="15" xfId="0" applyFont="1" applyFill="1" applyBorder="1" applyAlignment="1">
      <alignment horizontal="justify" vertical="center" wrapText="1"/>
    </xf>
    <xf numFmtId="9" fontId="34" fillId="0" borderId="1" xfId="0" applyNumberFormat="1" applyFont="1" applyFill="1" applyBorder="1" applyAlignment="1">
      <alignment horizontal="center" vertical="center" wrapText="1"/>
    </xf>
    <xf numFmtId="0" fontId="34" fillId="3" borderId="2" xfId="0" applyFont="1" applyFill="1" applyBorder="1" applyAlignment="1">
      <alignment horizontal="center" vertical="center" wrapText="1"/>
    </xf>
    <xf numFmtId="0" fontId="34" fillId="3" borderId="0" xfId="0" applyFont="1" applyFill="1" applyAlignment="1">
      <alignment horizontal="center" vertical="center" wrapText="1"/>
    </xf>
    <xf numFmtId="0" fontId="34" fillId="3" borderId="1"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0" xfId="0" applyFont="1" applyFill="1" applyAlignment="1">
      <alignment horizontal="center"/>
    </xf>
    <xf numFmtId="0" fontId="18" fillId="0" borderId="0" xfId="0" applyFont="1" applyAlignment="1">
      <alignment horizontal="center"/>
    </xf>
    <xf numFmtId="0" fontId="34" fillId="0" borderId="3" xfId="0" applyFont="1" applyBorder="1"/>
    <xf numFmtId="0" fontId="34" fillId="10" borderId="0" xfId="0" applyFont="1" applyFill="1"/>
    <xf numFmtId="0" fontId="34" fillId="10" borderId="9" xfId="0" applyFont="1" applyFill="1" applyBorder="1"/>
    <xf numFmtId="0" fontId="34" fillId="10" borderId="0" xfId="0" applyFont="1" applyFill="1" applyBorder="1"/>
    <xf numFmtId="0" fontId="34" fillId="10" borderId="2" xfId="0" applyFont="1" applyFill="1" applyBorder="1" applyAlignment="1">
      <alignment horizontal="center" vertical="center"/>
    </xf>
    <xf numFmtId="0" fontId="34" fillId="10" borderId="1" xfId="0" applyFont="1" applyFill="1" applyBorder="1" applyAlignment="1">
      <alignment horizontal="center" vertical="center"/>
    </xf>
    <xf numFmtId="0" fontId="34" fillId="10" borderId="22" xfId="0" applyFont="1" applyFill="1" applyBorder="1" applyAlignment="1">
      <alignment vertical="center"/>
    </xf>
    <xf numFmtId="0" fontId="34" fillId="10" borderId="0" xfId="0" applyFont="1" applyFill="1" applyAlignment="1">
      <alignment horizontal="center" vertical="center"/>
    </xf>
    <xf numFmtId="10" fontId="34" fillId="10" borderId="0" xfId="0" applyNumberFormat="1" applyFont="1" applyFill="1" applyAlignment="1">
      <alignment horizontal="center" vertical="center"/>
    </xf>
    <xf numFmtId="173" fontId="34" fillId="10" borderId="0" xfId="0" applyNumberFormat="1" applyFont="1" applyFill="1" applyAlignment="1">
      <alignment horizontal="center" vertical="center"/>
    </xf>
    <xf numFmtId="0" fontId="34" fillId="10" borderId="15" xfId="0" applyFont="1" applyFill="1" applyBorder="1" applyAlignment="1">
      <alignment vertical="center"/>
    </xf>
    <xf numFmtId="173" fontId="34" fillId="10" borderId="1" xfId="0" applyNumberFormat="1" applyFont="1" applyFill="1" applyBorder="1" applyAlignment="1">
      <alignment horizontal="center" vertical="center"/>
    </xf>
    <xf numFmtId="0" fontId="34" fillId="10" borderId="13" xfId="0" applyFont="1" applyFill="1" applyBorder="1" applyAlignment="1">
      <alignment vertical="center"/>
    </xf>
    <xf numFmtId="9" fontId="34" fillId="10" borderId="0" xfId="0" applyNumberFormat="1" applyFont="1" applyFill="1" applyAlignment="1">
      <alignment horizontal="center" vertical="center" wrapText="1"/>
    </xf>
    <xf numFmtId="9" fontId="34" fillId="10" borderId="1" xfId="0" applyNumberFormat="1" applyFont="1" applyFill="1" applyBorder="1" applyAlignment="1">
      <alignment horizontal="center" vertical="center" wrapText="1"/>
    </xf>
    <xf numFmtId="0" fontId="34" fillId="10" borderId="14" xfId="0" applyFont="1" applyFill="1" applyBorder="1" applyAlignment="1">
      <alignment vertical="center"/>
    </xf>
    <xf numFmtId="0" fontId="34" fillId="10" borderId="0" xfId="0" applyFont="1" applyFill="1" applyAlignment="1">
      <alignment horizontal="center" vertical="center" wrapText="1"/>
    </xf>
    <xf numFmtId="0" fontId="34" fillId="10" borderId="1" xfId="0" applyFont="1" applyFill="1" applyBorder="1" applyAlignment="1">
      <alignment horizontal="center" vertical="center" wrapText="1"/>
    </xf>
    <xf numFmtId="0" fontId="34" fillId="10" borderId="14" xfId="0" applyFont="1" applyFill="1" applyBorder="1" applyAlignment="1">
      <alignment horizontal="center" vertical="center"/>
    </xf>
    <xf numFmtId="173" fontId="34" fillId="10" borderId="22" xfId="0" applyNumberFormat="1" applyFont="1" applyFill="1" applyBorder="1" applyAlignment="1">
      <alignment horizontal="center" vertical="center" wrapText="1"/>
    </xf>
    <xf numFmtId="173" fontId="34" fillId="10" borderId="15" xfId="0" applyNumberFormat="1" applyFont="1" applyFill="1" applyBorder="1" applyAlignment="1">
      <alignment horizontal="center" vertical="center" wrapText="1"/>
    </xf>
    <xf numFmtId="1" fontId="34" fillId="10" borderId="0" xfId="0" applyNumberFormat="1" applyFont="1" applyFill="1" applyAlignment="1">
      <alignment horizontal="center" vertical="center"/>
    </xf>
    <xf numFmtId="1" fontId="34" fillId="10" borderId="1" xfId="0" applyNumberFormat="1" applyFont="1" applyFill="1" applyBorder="1" applyAlignment="1">
      <alignment horizontal="center" vertical="center"/>
    </xf>
    <xf numFmtId="173" fontId="34" fillId="10" borderId="1" xfId="0" applyNumberFormat="1" applyFont="1" applyFill="1" applyBorder="1" applyAlignment="1">
      <alignment horizontal="center" vertical="center" wrapText="1"/>
    </xf>
    <xf numFmtId="0" fontId="34" fillId="10" borderId="0" xfId="0" applyFont="1" applyFill="1" applyAlignment="1">
      <alignment horizontal="left" vertical="center"/>
    </xf>
    <xf numFmtId="0" fontId="34" fillId="6" borderId="0" xfId="0" applyFont="1" applyFill="1" applyAlignment="1">
      <alignment horizontal="left" vertical="top" wrapText="1"/>
    </xf>
    <xf numFmtId="0" fontId="34" fillId="7" borderId="0" xfId="0" applyFont="1" applyFill="1" applyAlignment="1">
      <alignment horizontal="left" vertical="center"/>
    </xf>
    <xf numFmtId="0" fontId="18" fillId="7" borderId="0" xfId="0" applyFont="1" applyFill="1" applyAlignment="1">
      <alignment horizontal="left" vertical="center"/>
    </xf>
    <xf numFmtId="0" fontId="34" fillId="7" borderId="0" xfId="0" applyFont="1" applyFill="1"/>
    <xf numFmtId="0" fontId="34" fillId="7" borderId="13" xfId="0" applyFont="1" applyFill="1" applyBorder="1" applyAlignment="1">
      <alignment vertical="center"/>
    </xf>
    <xf numFmtId="0" fontId="34" fillId="7" borderId="14" xfId="0" applyFont="1" applyFill="1" applyBorder="1" applyAlignment="1">
      <alignment horizontal="center" vertical="center"/>
    </xf>
    <xf numFmtId="0" fontId="34" fillId="7" borderId="22" xfId="0" applyFont="1" applyFill="1" applyBorder="1" applyAlignment="1">
      <alignment vertical="center"/>
    </xf>
    <xf numFmtId="0" fontId="34" fillId="7" borderId="0" xfId="0" applyFont="1" applyFill="1" applyAlignment="1">
      <alignment horizontal="center" vertical="center"/>
    </xf>
    <xf numFmtId="0" fontId="34" fillId="7" borderId="15" xfId="0" applyFont="1" applyFill="1" applyBorder="1" applyAlignment="1">
      <alignment vertical="center"/>
    </xf>
    <xf numFmtId="0" fontId="34" fillId="7" borderId="1" xfId="0" applyFont="1" applyFill="1" applyBorder="1" applyAlignment="1">
      <alignment horizontal="center" vertical="center"/>
    </xf>
    <xf numFmtId="0" fontId="34" fillId="6" borderId="0" xfId="0" applyFont="1" applyFill="1" applyBorder="1"/>
    <xf numFmtId="0" fontId="34" fillId="6" borderId="0" xfId="0" applyFont="1" applyFill="1" applyBorder="1" applyAlignment="1">
      <alignment vertical="center"/>
    </xf>
    <xf numFmtId="0" fontId="18" fillId="3" borderId="0" xfId="0" applyFont="1" applyFill="1" applyAlignment="1">
      <alignment horizontal="left" vertical="center"/>
    </xf>
    <xf numFmtId="0" fontId="34" fillId="3" borderId="14" xfId="0" applyFont="1" applyFill="1" applyBorder="1" applyAlignment="1">
      <alignment vertical="center"/>
    </xf>
    <xf numFmtId="0" fontId="34" fillId="3" borderId="22" xfId="0" applyFont="1" applyFill="1" applyBorder="1" applyAlignment="1">
      <alignment vertical="center"/>
    </xf>
    <xf numFmtId="0" fontId="34" fillId="3" borderId="0" xfId="0" applyFont="1" applyFill="1" applyAlignment="1">
      <alignment horizontal="center" vertical="center"/>
    </xf>
    <xf numFmtId="0" fontId="34" fillId="6" borderId="0" xfId="0" applyFont="1" applyFill="1" applyAlignment="1">
      <alignment horizontal="center" vertical="center" wrapText="1"/>
    </xf>
    <xf numFmtId="173" fontId="34" fillId="6" borderId="0" xfId="0" applyNumberFormat="1" applyFont="1" applyFill="1" applyAlignment="1">
      <alignment horizontal="center" vertical="center"/>
    </xf>
    <xf numFmtId="0" fontId="34" fillId="3" borderId="15" xfId="0" applyFont="1" applyFill="1" applyBorder="1" applyAlignment="1">
      <alignment vertical="center"/>
    </xf>
    <xf numFmtId="0" fontId="34" fillId="3" borderId="1" xfId="0" applyFont="1" applyFill="1" applyBorder="1" applyAlignment="1">
      <alignment horizontal="center" vertical="center"/>
    </xf>
    <xf numFmtId="0" fontId="34" fillId="6" borderId="1" xfId="0" applyFont="1" applyFill="1" applyBorder="1" applyAlignment="1">
      <alignment horizontal="center" vertical="center" wrapText="1"/>
    </xf>
    <xf numFmtId="173" fontId="34" fillId="6" borderId="1" xfId="0" applyNumberFormat="1" applyFont="1" applyFill="1" applyBorder="1" applyAlignment="1">
      <alignment horizontal="center" vertical="center"/>
    </xf>
    <xf numFmtId="0" fontId="34" fillId="6" borderId="0" xfId="0" applyFont="1" applyFill="1" applyAlignment="1">
      <alignment horizontal="left" wrapText="1"/>
    </xf>
    <xf numFmtId="183" fontId="34" fillId="0" borderId="0" xfId="1" applyNumberFormat="1" applyFont="1"/>
    <xf numFmtId="0" fontId="34" fillId="6" borderId="0" xfId="0" applyFont="1" applyFill="1" applyBorder="1" applyAlignment="1">
      <alignment horizontal="center" vertical="center" wrapText="1"/>
    </xf>
    <xf numFmtId="0" fontId="34" fillId="6" borderId="0" xfId="0" applyFont="1" applyFill="1" applyBorder="1" applyAlignment="1">
      <alignment horizontal="center" vertical="center"/>
    </xf>
    <xf numFmtId="0" fontId="34" fillId="6" borderId="0" xfId="0" applyFont="1" applyFill="1"/>
    <xf numFmtId="0" fontId="34" fillId="3" borderId="13" xfId="0" applyFont="1" applyFill="1" applyBorder="1" applyAlignment="1">
      <alignment vertical="center"/>
    </xf>
    <xf numFmtId="0" fontId="34" fillId="3" borderId="14" xfId="0" applyFont="1" applyFill="1" applyBorder="1" applyAlignment="1">
      <alignment horizontal="center" vertical="center"/>
    </xf>
    <xf numFmtId="0" fontId="34" fillId="6" borderId="0" xfId="0" applyFont="1" applyFill="1" applyAlignment="1">
      <alignment horizontal="center" vertical="center"/>
    </xf>
    <xf numFmtId="0" fontId="34" fillId="6" borderId="1" xfId="0" applyFont="1" applyFill="1" applyBorder="1" applyAlignment="1">
      <alignment horizontal="center" vertical="center"/>
    </xf>
    <xf numFmtId="173" fontId="34" fillId="3" borderId="0" xfId="0" applyNumberFormat="1" applyFont="1" applyFill="1" applyAlignment="1">
      <alignment horizontal="center" vertical="center"/>
    </xf>
    <xf numFmtId="173" fontId="34" fillId="3" borderId="22" xfId="0" applyNumberFormat="1" applyFont="1" applyFill="1" applyBorder="1" applyAlignment="1">
      <alignment horizontal="center" vertical="center" wrapText="1"/>
    </xf>
    <xf numFmtId="173" fontId="34" fillId="6" borderId="22" xfId="0" applyNumberFormat="1" applyFont="1" applyFill="1" applyBorder="1" applyAlignment="1">
      <alignment horizontal="center" vertical="center" wrapText="1"/>
    </xf>
    <xf numFmtId="173" fontId="34" fillId="3" borderId="1" xfId="0" applyNumberFormat="1" applyFont="1" applyFill="1" applyBorder="1" applyAlignment="1">
      <alignment horizontal="center" vertical="center"/>
    </xf>
    <xf numFmtId="173" fontId="34" fillId="3" borderId="15" xfId="0" applyNumberFormat="1" applyFont="1" applyFill="1" applyBorder="1" applyAlignment="1">
      <alignment horizontal="center" vertical="center" wrapText="1"/>
    </xf>
    <xf numFmtId="173" fontId="34" fillId="6" borderId="15" xfId="0" applyNumberFormat="1" applyFont="1" applyFill="1" applyBorder="1" applyAlignment="1">
      <alignment horizontal="center" vertical="center" wrapText="1"/>
    </xf>
    <xf numFmtId="173" fontId="34" fillId="6" borderId="1" xfId="0" applyNumberFormat="1" applyFont="1" applyFill="1" applyBorder="1" applyAlignment="1">
      <alignment horizontal="center" vertical="center" wrapText="1"/>
    </xf>
    <xf numFmtId="0" fontId="34" fillId="0" borderId="0" xfId="0" applyFont="1" applyAlignment="1">
      <alignment vertical="top" wrapText="1"/>
    </xf>
    <xf numFmtId="173" fontId="34" fillId="0" borderId="19" xfId="0" applyNumberFormat="1" applyFont="1" applyBorder="1" applyAlignment="1">
      <alignment horizontal="center"/>
    </xf>
    <xf numFmtId="173" fontId="34" fillId="0" borderId="16" xfId="0" applyNumberFormat="1" applyFont="1" applyBorder="1" applyAlignment="1">
      <alignment horizontal="center"/>
    </xf>
    <xf numFmtId="173" fontId="34" fillId="0" borderId="24" xfId="0" applyNumberFormat="1" applyFont="1" applyBorder="1" applyAlignment="1">
      <alignment horizontal="center"/>
    </xf>
    <xf numFmtId="173" fontId="34" fillId="0" borderId="22" xfId="0" applyNumberFormat="1" applyFont="1" applyBorder="1" applyAlignment="1">
      <alignment horizontal="center"/>
    </xf>
    <xf numFmtId="173" fontId="34" fillId="0" borderId="21" xfId="0" applyNumberFormat="1" applyFont="1" applyBorder="1" applyAlignment="1">
      <alignment horizontal="center"/>
    </xf>
    <xf numFmtId="173" fontId="34" fillId="0" borderId="15" xfId="0" applyNumberFormat="1" applyFont="1" applyBorder="1" applyAlignment="1">
      <alignment horizontal="center"/>
    </xf>
    <xf numFmtId="0" fontId="34" fillId="6" borderId="13" xfId="0" applyFont="1" applyFill="1" applyBorder="1" applyAlignment="1">
      <alignment vertical="center"/>
    </xf>
    <xf numFmtId="0" fontId="34" fillId="6" borderId="22" xfId="0" applyFont="1" applyFill="1" applyBorder="1" applyAlignment="1">
      <alignment vertical="center"/>
    </xf>
    <xf numFmtId="10" fontId="34" fillId="6" borderId="0" xfId="1" applyNumberFormat="1" applyFont="1" applyFill="1" applyAlignment="1">
      <alignment horizontal="center" vertical="center"/>
    </xf>
    <xf numFmtId="0" fontId="34" fillId="6" borderId="15" xfId="0" applyFont="1" applyFill="1" applyBorder="1" applyAlignment="1">
      <alignment vertical="center"/>
    </xf>
    <xf numFmtId="10" fontId="34" fillId="6" borderId="1" xfId="1" applyNumberFormat="1" applyFont="1" applyFill="1" applyBorder="1" applyAlignment="1">
      <alignment horizontal="center" vertical="center"/>
    </xf>
    <xf numFmtId="10" fontId="34" fillId="6" borderId="1" xfId="1" applyNumberFormat="1" applyFont="1" applyFill="1" applyBorder="1" applyAlignment="1">
      <alignment horizontal="center" vertical="center" wrapText="1"/>
    </xf>
    <xf numFmtId="173" fontId="34" fillId="6" borderId="0" xfId="0" applyNumberFormat="1" applyFont="1" applyFill="1" applyBorder="1" applyAlignment="1">
      <alignment horizontal="center"/>
    </xf>
    <xf numFmtId="0" fontId="34" fillId="6" borderId="0" xfId="0" applyFont="1" applyFill="1" applyAlignment="1">
      <alignment vertical="top" wrapText="1"/>
    </xf>
    <xf numFmtId="0" fontId="34" fillId="6" borderId="0" xfId="0" applyFont="1" applyFill="1" applyAlignment="1">
      <alignment horizontal="center"/>
    </xf>
    <xf numFmtId="0" fontId="34" fillId="6" borderId="0" xfId="0" applyFont="1" applyFill="1" applyAlignment="1">
      <alignment horizontal="center" vertical="top" wrapText="1"/>
    </xf>
    <xf numFmtId="0" fontId="34" fillId="3" borderId="14" xfId="0" applyFont="1" applyFill="1" applyBorder="1" applyAlignment="1">
      <alignment vertical="center" wrapText="1"/>
    </xf>
    <xf numFmtId="0" fontId="34" fillId="3" borderId="0" xfId="0" applyFont="1" applyFill="1" applyAlignment="1">
      <alignment vertical="center" wrapText="1"/>
    </xf>
    <xf numFmtId="0" fontId="34" fillId="3" borderId="1" xfId="0" applyFont="1" applyFill="1" applyBorder="1" applyAlignment="1">
      <alignment vertical="center" wrapText="1"/>
    </xf>
    <xf numFmtId="10" fontId="34" fillId="6" borderId="0" xfId="1" applyNumberFormat="1" applyFont="1" applyFill="1" applyBorder="1" applyAlignment="1">
      <alignment horizontal="center" vertical="center"/>
    </xf>
    <xf numFmtId="10" fontId="34" fillId="6" borderId="0" xfId="1" applyNumberFormat="1" applyFont="1" applyFill="1" applyBorder="1" applyAlignment="1">
      <alignment horizontal="center" vertical="center" wrapText="1"/>
    </xf>
    <xf numFmtId="0" fontId="34" fillId="6" borderId="0" xfId="0" applyFont="1" applyFill="1" applyBorder="1" applyAlignment="1">
      <alignment horizontal="left" vertical="top" wrapText="1"/>
    </xf>
    <xf numFmtId="0" fontId="18" fillId="8" borderId="30" xfId="0" applyFont="1" applyFill="1" applyBorder="1" applyAlignment="1">
      <alignment horizontal="center" vertical="center"/>
    </xf>
    <xf numFmtId="10" fontId="34" fillId="6" borderId="2" xfId="1" applyNumberFormat="1" applyFont="1" applyFill="1" applyBorder="1" applyAlignment="1">
      <alignment horizontal="center" vertical="center" wrapText="1"/>
    </xf>
    <xf numFmtId="173" fontId="34" fillId="6" borderId="2" xfId="0" applyNumberFormat="1" applyFont="1" applyFill="1" applyBorder="1" applyAlignment="1">
      <alignment horizontal="center" vertical="center" wrapText="1"/>
    </xf>
    <xf numFmtId="173" fontId="34" fillId="8" borderId="2" xfId="0" applyNumberFormat="1" applyFont="1" applyFill="1" applyBorder="1" applyAlignment="1">
      <alignment horizontal="center" vertical="center" wrapText="1"/>
    </xf>
    <xf numFmtId="173" fontId="34" fillId="8" borderId="16" xfId="0" applyNumberFormat="1" applyFont="1" applyFill="1" applyBorder="1" applyAlignment="1">
      <alignment horizontal="center" vertical="center" wrapText="1"/>
    </xf>
    <xf numFmtId="0" fontId="34" fillId="6" borderId="24" xfId="0" applyFont="1" applyFill="1" applyBorder="1" applyAlignment="1">
      <alignment horizontal="center" vertical="center"/>
    </xf>
    <xf numFmtId="10" fontId="34" fillId="8" borderId="0" xfId="1" applyNumberFormat="1" applyFont="1" applyFill="1" applyBorder="1" applyAlignment="1">
      <alignment horizontal="center" vertical="center" wrapText="1"/>
    </xf>
    <xf numFmtId="10" fontId="34" fillId="8" borderId="22" xfId="1" applyNumberFormat="1" applyFont="1" applyFill="1" applyBorder="1" applyAlignment="1">
      <alignment horizontal="center" vertical="center" wrapText="1"/>
    </xf>
    <xf numFmtId="0" fontId="34" fillId="8" borderId="24" xfId="0" applyFont="1" applyFill="1" applyBorder="1" applyAlignment="1">
      <alignment horizontal="center" vertical="center"/>
    </xf>
    <xf numFmtId="11" fontId="34" fillId="6" borderId="0" xfId="0" applyNumberFormat="1" applyFont="1" applyFill="1" applyBorder="1" applyAlignment="1">
      <alignment horizontal="center"/>
    </xf>
    <xf numFmtId="181" fontId="34" fillId="6" borderId="0" xfId="0" applyNumberFormat="1" applyFont="1" applyFill="1" applyBorder="1" applyAlignment="1">
      <alignment horizontal="center"/>
    </xf>
    <xf numFmtId="184" fontId="34" fillId="6" borderId="0" xfId="0" applyNumberFormat="1" applyFont="1" applyFill="1" applyBorder="1" applyAlignment="1">
      <alignment horizontal="center"/>
    </xf>
    <xf numFmtId="184" fontId="34" fillId="8" borderId="0" xfId="0" applyNumberFormat="1" applyFont="1" applyFill="1" applyBorder="1" applyAlignment="1">
      <alignment horizontal="center"/>
    </xf>
    <xf numFmtId="184" fontId="34" fillId="8" borderId="22" xfId="0" applyNumberFormat="1" applyFont="1" applyFill="1" applyBorder="1" applyAlignment="1">
      <alignment horizontal="center"/>
    </xf>
    <xf numFmtId="0" fontId="34" fillId="8" borderId="21" xfId="0" applyFont="1" applyFill="1" applyBorder="1" applyAlignment="1">
      <alignment horizontal="center" vertical="center"/>
    </xf>
    <xf numFmtId="11" fontId="34" fillId="6" borderId="1" xfId="0" applyNumberFormat="1" applyFont="1" applyFill="1" applyBorder="1" applyAlignment="1">
      <alignment horizontal="center"/>
    </xf>
    <xf numFmtId="181" fontId="34" fillId="6" borderId="1" xfId="0" applyNumberFormat="1" applyFont="1" applyFill="1" applyBorder="1" applyAlignment="1">
      <alignment horizontal="center"/>
    </xf>
    <xf numFmtId="184" fontId="34" fillId="6" borderId="1" xfId="0" applyNumberFormat="1" applyFont="1" applyFill="1" applyBorder="1" applyAlignment="1">
      <alignment horizontal="center"/>
    </xf>
    <xf numFmtId="184" fontId="34" fillId="8" borderId="1" xfId="0" applyNumberFormat="1" applyFont="1" applyFill="1" applyBorder="1" applyAlignment="1">
      <alignment horizontal="center"/>
    </xf>
    <xf numFmtId="184" fontId="34" fillId="8" borderId="15" xfId="0" applyNumberFormat="1" applyFont="1" applyFill="1" applyBorder="1" applyAlignment="1">
      <alignment horizontal="center"/>
    </xf>
    <xf numFmtId="0" fontId="34" fillId="6" borderId="0" xfId="0" applyFont="1" applyFill="1" applyBorder="1" applyAlignment="1">
      <alignment horizontal="center" vertical="top" wrapText="1"/>
    </xf>
    <xf numFmtId="0" fontId="18" fillId="8" borderId="30" xfId="0" applyFont="1" applyFill="1" applyBorder="1" applyAlignment="1">
      <alignment horizontal="center" vertical="center" wrapText="1"/>
    </xf>
    <xf numFmtId="173" fontId="34" fillId="3" borderId="0" xfId="0" applyNumberFormat="1" applyFont="1" applyFill="1" applyAlignment="1">
      <alignment horizontal="center" vertical="center" wrapText="1"/>
    </xf>
    <xf numFmtId="0" fontId="34" fillId="6" borderId="25" xfId="0" applyFont="1" applyFill="1" applyBorder="1" applyAlignment="1">
      <alignment horizontal="center" vertical="center"/>
    </xf>
    <xf numFmtId="10" fontId="34" fillId="6" borderId="14" xfId="1" applyNumberFormat="1" applyFont="1" applyFill="1" applyBorder="1" applyAlignment="1">
      <alignment horizontal="center" vertical="center" wrapText="1"/>
    </xf>
    <xf numFmtId="10" fontId="34" fillId="6" borderId="13" xfId="1" applyNumberFormat="1" applyFont="1" applyFill="1" applyBorder="1" applyAlignment="1">
      <alignment horizontal="center" vertical="center" wrapText="1"/>
    </xf>
    <xf numFmtId="185" fontId="34" fillId="6" borderId="0" xfId="2" applyNumberFormat="1" applyFont="1" applyFill="1" applyBorder="1" applyAlignment="1">
      <alignment horizontal="center" vertical="center"/>
    </xf>
    <xf numFmtId="185" fontId="34" fillId="6" borderId="22" xfId="2" applyNumberFormat="1" applyFont="1" applyFill="1" applyBorder="1" applyAlignment="1">
      <alignment horizontal="center" vertical="center"/>
    </xf>
    <xf numFmtId="0" fontId="34" fillId="6" borderId="21" xfId="0" applyFont="1" applyFill="1" applyBorder="1" applyAlignment="1">
      <alignment horizontal="center" vertical="center"/>
    </xf>
    <xf numFmtId="185" fontId="34" fillId="6" borderId="1" xfId="2" applyNumberFormat="1" applyFont="1" applyFill="1" applyBorder="1" applyAlignment="1">
      <alignment horizontal="center" vertical="center"/>
    </xf>
    <xf numFmtId="185" fontId="34" fillId="6" borderId="15" xfId="2" applyNumberFormat="1" applyFont="1" applyFill="1" applyBorder="1" applyAlignment="1">
      <alignment horizontal="center" vertical="center"/>
    </xf>
    <xf numFmtId="0" fontId="34" fillId="3" borderId="1" xfId="0" applyFont="1" applyFill="1" applyBorder="1" applyAlignment="1">
      <alignment horizontal="center"/>
    </xf>
    <xf numFmtId="0" fontId="34" fillId="3" borderId="2" xfId="0" applyFont="1" applyFill="1" applyBorder="1" applyAlignment="1">
      <alignment horizontal="center" wrapText="1"/>
    </xf>
    <xf numFmtId="0" fontId="34" fillId="3" borderId="2" xfId="0" applyFont="1" applyFill="1" applyBorder="1" applyAlignment="1">
      <alignment horizontal="center" vertical="center"/>
    </xf>
    <xf numFmtId="0" fontId="34" fillId="6" borderId="1" xfId="0" applyFont="1" applyFill="1" applyBorder="1"/>
    <xf numFmtId="0" fontId="34" fillId="6" borderId="14" xfId="0" applyFont="1" applyFill="1" applyBorder="1" applyAlignment="1">
      <alignment vertical="center"/>
    </xf>
    <xf numFmtId="10" fontId="34" fillId="6" borderId="0" xfId="0" applyNumberFormat="1" applyFont="1" applyFill="1"/>
    <xf numFmtId="10" fontId="34" fillId="6" borderId="1" xfId="0" applyNumberFormat="1" applyFont="1" applyFill="1" applyBorder="1"/>
    <xf numFmtId="0" fontId="18" fillId="6" borderId="0" xfId="0" applyFont="1" applyFill="1" applyBorder="1" applyAlignment="1">
      <alignment horizontal="center"/>
    </xf>
    <xf numFmtId="0" fontId="34" fillId="6" borderId="0" xfId="0" applyFont="1" applyFill="1" applyBorder="1" applyAlignment="1">
      <alignment horizontal="center"/>
    </xf>
    <xf numFmtId="0" fontId="34" fillId="6" borderId="27" xfId="0" applyFont="1" applyFill="1" applyBorder="1" applyAlignment="1">
      <alignment horizontal="center"/>
    </xf>
    <xf numFmtId="0" fontId="34" fillId="6" borderId="28" xfId="0" applyFont="1" applyFill="1" applyBorder="1" applyAlignment="1">
      <alignment horizontal="center"/>
    </xf>
    <xf numFmtId="0" fontId="34" fillId="7" borderId="0" xfId="0" applyFont="1" applyFill="1" applyBorder="1" applyAlignment="1">
      <alignment horizontal="center"/>
    </xf>
    <xf numFmtId="0" fontId="34" fillId="7" borderId="29" xfId="0" applyFont="1" applyFill="1" applyBorder="1" applyAlignment="1">
      <alignment horizontal="center"/>
    </xf>
    <xf numFmtId="0" fontId="34" fillId="0" borderId="0" xfId="0" applyFont="1" applyBorder="1" applyAlignment="1">
      <alignment horizontal="center"/>
    </xf>
    <xf numFmtId="10" fontId="34" fillId="6" borderId="0" xfId="0" applyNumberFormat="1" applyFont="1" applyFill="1" applyAlignment="1">
      <alignment horizontal="center"/>
    </xf>
    <xf numFmtId="172" fontId="34" fillId="0" borderId="0" xfId="0" applyNumberFormat="1" applyFont="1"/>
    <xf numFmtId="0" fontId="34" fillId="6" borderId="29" xfId="0" applyFont="1" applyFill="1" applyBorder="1" applyAlignment="1">
      <alignment horizontal="center"/>
    </xf>
    <xf numFmtId="0" fontId="34" fillId="7" borderId="28" xfId="0" applyFont="1" applyFill="1" applyBorder="1" applyAlignment="1">
      <alignment horizontal="center"/>
    </xf>
    <xf numFmtId="0" fontId="34" fillId="7" borderId="27" xfId="0" applyFont="1" applyFill="1" applyBorder="1" applyAlignment="1">
      <alignment horizontal="center"/>
    </xf>
    <xf numFmtId="2" fontId="34" fillId="6" borderId="28" xfId="0" applyNumberFormat="1" applyFont="1" applyFill="1" applyBorder="1" applyAlignment="1">
      <alignment horizontal="center"/>
    </xf>
    <xf numFmtId="2" fontId="34" fillId="6" borderId="0" xfId="0" applyNumberFormat="1" applyFont="1" applyFill="1" applyBorder="1" applyAlignment="1">
      <alignment horizontal="center"/>
    </xf>
    <xf numFmtId="2" fontId="34" fillId="6" borderId="29" xfId="0" applyNumberFormat="1" applyFont="1" applyFill="1" applyBorder="1" applyAlignment="1">
      <alignment horizontal="center"/>
    </xf>
    <xf numFmtId="2" fontId="34" fillId="7" borderId="28" xfId="0" applyNumberFormat="1" applyFont="1" applyFill="1" applyBorder="1" applyAlignment="1">
      <alignment horizontal="center"/>
    </xf>
    <xf numFmtId="2" fontId="34" fillId="7" borderId="0" xfId="0" applyNumberFormat="1" applyFont="1" applyFill="1" applyBorder="1" applyAlignment="1">
      <alignment horizontal="center"/>
    </xf>
    <xf numFmtId="2" fontId="34" fillId="7" borderId="29" xfId="0" applyNumberFormat="1" applyFont="1" applyFill="1" applyBorder="1" applyAlignment="1">
      <alignment horizontal="center"/>
    </xf>
    <xf numFmtId="0" fontId="18" fillId="6" borderId="0" xfId="0" applyFont="1" applyFill="1"/>
    <xf numFmtId="0" fontId="34" fillId="6" borderId="0" xfId="0" applyFont="1" applyFill="1" applyAlignment="1">
      <alignment horizontal="left"/>
    </xf>
    <xf numFmtId="0" fontId="34" fillId="6" borderId="0" xfId="0" applyFont="1" applyFill="1" applyAlignment="1">
      <alignment horizontal="right"/>
    </xf>
    <xf numFmtId="172" fontId="34" fillId="6" borderId="0" xfId="0" applyNumberFormat="1" applyFont="1" applyFill="1" applyAlignment="1">
      <alignment horizontal="center"/>
    </xf>
    <xf numFmtId="184" fontId="34" fillId="6" borderId="0" xfId="0" applyNumberFormat="1" applyFont="1" applyFill="1" applyAlignment="1">
      <alignment horizontal="right"/>
    </xf>
    <xf numFmtId="187" fontId="34" fillId="6" borderId="0" xfId="0" applyNumberFormat="1" applyFont="1" applyFill="1" applyAlignment="1">
      <alignment horizontal="right"/>
    </xf>
    <xf numFmtId="0" fontId="18" fillId="6" borderId="0" xfId="0" applyFont="1" applyFill="1" applyBorder="1" applyAlignment="1">
      <alignment vertical="center"/>
    </xf>
    <xf numFmtId="172" fontId="34" fillId="3" borderId="0" xfId="0" applyNumberFormat="1" applyFont="1" applyFill="1" applyAlignment="1">
      <alignment horizontal="center"/>
    </xf>
    <xf numFmtId="2" fontId="34" fillId="6" borderId="37" xfId="0" applyNumberFormat="1" applyFont="1" applyFill="1" applyBorder="1" applyAlignment="1">
      <alignment horizontal="center"/>
    </xf>
    <xf numFmtId="2" fontId="34" fillId="6" borderId="2" xfId="0" applyNumberFormat="1" applyFont="1" applyFill="1" applyBorder="1" applyAlignment="1">
      <alignment horizontal="center"/>
    </xf>
    <xf numFmtId="2" fontId="34" fillId="6" borderId="39" xfId="0" applyNumberFormat="1" applyFont="1" applyFill="1" applyBorder="1" applyAlignment="1">
      <alignment horizontal="center"/>
    </xf>
    <xf numFmtId="2" fontId="34" fillId="6" borderId="38" xfId="0" applyNumberFormat="1" applyFont="1" applyFill="1" applyBorder="1" applyAlignment="1">
      <alignment horizontal="center"/>
    </xf>
    <xf numFmtId="2" fontId="34" fillId="6" borderId="1" xfId="0" applyNumberFormat="1" applyFont="1" applyFill="1" applyBorder="1" applyAlignment="1">
      <alignment horizontal="center"/>
    </xf>
    <xf numFmtId="0" fontId="34" fillId="6" borderId="18" xfId="0" applyFont="1" applyFill="1" applyBorder="1" applyAlignment="1">
      <alignment horizontal="center"/>
    </xf>
    <xf numFmtId="172" fontId="34" fillId="6" borderId="24" xfId="0" applyNumberFormat="1" applyFont="1" applyFill="1" applyBorder="1" applyAlignment="1">
      <alignment horizontal="center"/>
    </xf>
    <xf numFmtId="0" fontId="34" fillId="6" borderId="22" xfId="0" applyFont="1" applyFill="1" applyBorder="1" applyAlignment="1">
      <alignment horizontal="center"/>
    </xf>
    <xf numFmtId="0" fontId="34" fillId="6" borderId="19" xfId="0" applyFont="1" applyFill="1" applyBorder="1" applyAlignment="1">
      <alignment horizontal="center"/>
    </xf>
    <xf numFmtId="0" fontId="34" fillId="6" borderId="2" xfId="0" applyFont="1" applyFill="1" applyBorder="1" applyAlignment="1">
      <alignment horizontal="center"/>
    </xf>
    <xf numFmtId="0" fontId="34" fillId="6" borderId="16" xfId="0" applyFont="1" applyFill="1" applyBorder="1" applyAlignment="1">
      <alignment horizontal="center"/>
    </xf>
    <xf numFmtId="0" fontId="34" fillId="6" borderId="23" xfId="0" applyFont="1" applyFill="1" applyBorder="1" applyAlignment="1">
      <alignment horizontal="center"/>
    </xf>
    <xf numFmtId="0" fontId="34" fillId="6" borderId="24" xfId="0" applyFont="1" applyFill="1" applyBorder="1" applyAlignment="1">
      <alignment horizontal="center"/>
    </xf>
    <xf numFmtId="173" fontId="34" fillId="6" borderId="22" xfId="0" applyNumberFormat="1" applyFont="1" applyFill="1" applyBorder="1" applyAlignment="1">
      <alignment horizontal="center"/>
    </xf>
    <xf numFmtId="0" fontId="34" fillId="6" borderId="20" xfId="0" applyFont="1" applyFill="1" applyBorder="1" applyAlignment="1">
      <alignment horizontal="center"/>
    </xf>
    <xf numFmtId="172" fontId="34" fillId="6" borderId="21" xfId="0" applyNumberFormat="1" applyFont="1" applyFill="1" applyBorder="1" applyAlignment="1">
      <alignment horizontal="center"/>
    </xf>
    <xf numFmtId="173" fontId="34" fillId="6" borderId="1" xfId="0" applyNumberFormat="1" applyFont="1" applyFill="1" applyBorder="1" applyAlignment="1">
      <alignment horizontal="center"/>
    </xf>
    <xf numFmtId="173" fontId="34" fillId="6" borderId="15" xfId="0" applyNumberFormat="1" applyFont="1" applyFill="1" applyBorder="1" applyAlignment="1">
      <alignment horizontal="center"/>
    </xf>
    <xf numFmtId="0" fontId="18" fillId="9" borderId="0" xfId="0" applyFont="1" applyFill="1" applyAlignment="1">
      <alignment vertical="center"/>
    </xf>
    <xf numFmtId="181" fontId="34" fillId="9" borderId="0" xfId="0" applyNumberFormat="1" applyFont="1" applyFill="1" applyAlignment="1">
      <alignment horizontal="center" vertical="center"/>
    </xf>
    <xf numFmtId="0" fontId="34" fillId="9" borderId="0" xfId="0" applyFont="1" applyFill="1" applyAlignment="1">
      <alignment horizontal="center"/>
    </xf>
    <xf numFmtId="0" fontId="34" fillId="9" borderId="0" xfId="0" applyFont="1" applyFill="1"/>
    <xf numFmtId="0" fontId="39" fillId="9" borderId="0" xfId="0" applyFont="1" applyFill="1" applyAlignment="1">
      <alignment vertical="center"/>
    </xf>
    <xf numFmtId="0" fontId="39" fillId="9" borderId="0" xfId="0" applyFont="1" applyFill="1" applyBorder="1" applyAlignment="1">
      <alignment vertical="center"/>
    </xf>
    <xf numFmtId="0" fontId="39" fillId="9" borderId="1" xfId="0" applyFont="1" applyFill="1" applyBorder="1" applyAlignment="1">
      <alignment vertical="center"/>
    </xf>
    <xf numFmtId="181" fontId="34" fillId="9" borderId="1" xfId="0" applyNumberFormat="1" applyFont="1" applyFill="1" applyBorder="1" applyAlignment="1">
      <alignment horizontal="center" vertical="center"/>
    </xf>
    <xf numFmtId="0" fontId="34" fillId="9" borderId="1" xfId="0" applyFont="1" applyFill="1" applyBorder="1" applyAlignment="1">
      <alignment horizontal="center"/>
    </xf>
    <xf numFmtId="0" fontId="34" fillId="9" borderId="1" xfId="0" applyFont="1" applyFill="1" applyBorder="1"/>
    <xf numFmtId="0" fontId="34" fillId="9" borderId="0" xfId="0" applyFont="1" applyFill="1" applyBorder="1"/>
    <xf numFmtId="0" fontId="34" fillId="9" borderId="0" xfId="0" applyFont="1" applyFill="1" applyBorder="1" applyAlignment="1">
      <alignment horizontal="center"/>
    </xf>
    <xf numFmtId="0" fontId="34" fillId="9" borderId="0" xfId="0" applyFont="1" applyFill="1" applyBorder="1" applyAlignment="1">
      <alignment horizontal="center" vertical="center"/>
    </xf>
    <xf numFmtId="0" fontId="21" fillId="9" borderId="0" xfId="0" applyFont="1" applyFill="1" applyBorder="1" applyAlignment="1">
      <alignment horizontal="right"/>
    </xf>
    <xf numFmtId="0" fontId="34" fillId="9" borderId="3" xfId="0" applyFont="1" applyFill="1" applyBorder="1" applyAlignment="1">
      <alignment horizontal="left" shrinkToFit="1"/>
    </xf>
    <xf numFmtId="0" fontId="34" fillId="9" borderId="3" xfId="0" applyFont="1" applyFill="1" applyBorder="1" applyAlignment="1">
      <alignment horizontal="center" vertical="center"/>
    </xf>
    <xf numFmtId="0" fontId="21" fillId="9" borderId="3" xfId="0" applyFont="1" applyFill="1" applyBorder="1" applyAlignment="1">
      <alignment horizontal="right" shrinkToFit="1"/>
    </xf>
    <xf numFmtId="0" fontId="34" fillId="9" borderId="0" xfId="0" applyFont="1" applyFill="1" applyAlignment="1">
      <alignment horizontal="right"/>
    </xf>
    <xf numFmtId="172" fontId="34" fillId="9" borderId="0" xfId="0" applyNumberFormat="1" applyFont="1" applyFill="1" applyAlignment="1">
      <alignment horizontal="right"/>
    </xf>
    <xf numFmtId="0" fontId="21" fillId="9" borderId="0" xfId="0" applyFont="1" applyFill="1" applyAlignment="1">
      <alignment horizontal="center"/>
    </xf>
    <xf numFmtId="0" fontId="21" fillId="9" borderId="0" xfId="0" applyFont="1" applyFill="1" applyAlignment="1">
      <alignment horizontal="right"/>
    </xf>
    <xf numFmtId="49" fontId="34" fillId="9" borderId="0" xfId="0" applyNumberFormat="1" applyFont="1" applyFill="1" applyAlignment="1">
      <alignment horizontal="right"/>
    </xf>
    <xf numFmtId="0" fontId="34" fillId="3" borderId="0" xfId="0" applyFont="1" applyFill="1" applyAlignment="1">
      <alignment horizontal="right"/>
    </xf>
    <xf numFmtId="0" fontId="34" fillId="9" borderId="3" xfId="0" applyFont="1" applyFill="1" applyBorder="1"/>
    <xf numFmtId="0" fontId="34" fillId="9" borderId="3" xfId="0" applyFont="1" applyFill="1" applyBorder="1" applyAlignment="1">
      <alignment horizontal="center"/>
    </xf>
    <xf numFmtId="0" fontId="34" fillId="9" borderId="3" xfId="0" applyFont="1" applyFill="1" applyBorder="1" applyAlignment="1">
      <alignment horizontal="right"/>
    </xf>
    <xf numFmtId="0" fontId="21" fillId="9" borderId="3" xfId="0" applyFont="1" applyFill="1" applyBorder="1" applyAlignment="1">
      <alignment horizontal="center"/>
    </xf>
    <xf numFmtId="0" fontId="21" fillId="9" borderId="3" xfId="0" applyFont="1" applyFill="1" applyBorder="1" applyAlignment="1">
      <alignment horizontal="right"/>
    </xf>
    <xf numFmtId="0" fontId="34" fillId="6" borderId="37" xfId="0" applyFont="1" applyFill="1" applyBorder="1" applyAlignment="1">
      <alignment horizontal="center" wrapText="1"/>
    </xf>
    <xf numFmtId="0" fontId="34" fillId="6" borderId="2" xfId="0" applyFont="1" applyFill="1" applyBorder="1" applyAlignment="1">
      <alignment horizontal="center" vertical="center"/>
    </xf>
    <xf numFmtId="0" fontId="34" fillId="6" borderId="2" xfId="0" applyFont="1" applyFill="1" applyBorder="1" applyAlignment="1">
      <alignment horizontal="center" wrapText="1"/>
    </xf>
    <xf numFmtId="0" fontId="34" fillId="6" borderId="38" xfId="0" applyFont="1" applyFill="1" applyBorder="1" applyAlignment="1">
      <alignment horizontal="center"/>
    </xf>
    <xf numFmtId="0" fontId="34" fillId="6" borderId="1" xfId="0" applyFont="1" applyFill="1" applyBorder="1" applyAlignment="1">
      <alignment horizontal="center"/>
    </xf>
    <xf numFmtId="0" fontId="34" fillId="6" borderId="19" xfId="0" applyFont="1" applyFill="1" applyBorder="1" applyAlignment="1">
      <alignment horizontal="center" wrapText="1"/>
    </xf>
    <xf numFmtId="0" fontId="34" fillId="6" borderId="16" xfId="0" applyFont="1" applyFill="1" applyBorder="1" applyAlignment="1">
      <alignment horizontal="center" vertical="center" wrapText="1"/>
    </xf>
    <xf numFmtId="0" fontId="34" fillId="6" borderId="2" xfId="0" applyFont="1" applyFill="1" applyBorder="1" applyAlignment="1">
      <alignment horizontal="center" vertical="center" wrapText="1"/>
    </xf>
    <xf numFmtId="0" fontId="34" fillId="6" borderId="21" xfId="0" applyFont="1" applyFill="1" applyBorder="1" applyAlignment="1">
      <alignment horizontal="center"/>
    </xf>
    <xf numFmtId="0" fontId="34" fillId="6" borderId="15" xfId="0" applyFont="1" applyFill="1" applyBorder="1" applyAlignment="1">
      <alignment horizontal="center"/>
    </xf>
    <xf numFmtId="0" fontId="34" fillId="0" borderId="28" xfId="0" applyFont="1" applyBorder="1"/>
    <xf numFmtId="2" fontId="34" fillId="6" borderId="27" xfId="0" applyNumberFormat="1" applyFont="1" applyFill="1" applyBorder="1" applyAlignment="1">
      <alignment horizontal="center"/>
    </xf>
    <xf numFmtId="2" fontId="34" fillId="7" borderId="27" xfId="0" applyNumberFormat="1" applyFont="1" applyFill="1" applyBorder="1" applyAlignment="1">
      <alignment horizontal="center"/>
    </xf>
    <xf numFmtId="171" fontId="34" fillId="6" borderId="0" xfId="0" applyNumberFormat="1" applyFont="1" applyFill="1" applyAlignment="1">
      <alignment horizontal="right"/>
    </xf>
    <xf numFmtId="0" fontId="34" fillId="3" borderId="1" xfId="0" applyFont="1" applyFill="1" applyBorder="1" applyAlignment="1">
      <alignment horizontal="center" vertical="center" shrinkToFit="1"/>
    </xf>
    <xf numFmtId="0" fontId="34" fillId="3" borderId="22" xfId="0" applyFont="1" applyFill="1" applyBorder="1" applyAlignment="1">
      <alignment horizontal="center" vertical="center"/>
    </xf>
    <xf numFmtId="0" fontId="34" fillId="3" borderId="15" xfId="0" applyFont="1" applyFill="1" applyBorder="1" applyAlignment="1">
      <alignment horizontal="center" vertical="center"/>
    </xf>
    <xf numFmtId="0" fontId="34" fillId="0" borderId="29" xfId="0" applyFont="1" applyBorder="1" applyAlignment="1">
      <alignment horizontal="center"/>
    </xf>
    <xf numFmtId="1" fontId="34" fillId="0" borderId="0" xfId="0" applyNumberFormat="1" applyFont="1"/>
    <xf numFmtId="1" fontId="34" fillId="3" borderId="0" xfId="0" applyNumberFormat="1" applyFont="1" applyFill="1" applyAlignment="1">
      <alignment horizontal="center"/>
    </xf>
    <xf numFmtId="1" fontId="34" fillId="6" borderId="0" xfId="0" applyNumberFormat="1" applyFont="1" applyFill="1" applyBorder="1" applyAlignment="1">
      <alignment horizontal="center"/>
    </xf>
    <xf numFmtId="172" fontId="34" fillId="6" borderId="19" xfId="0" applyNumberFormat="1" applyFont="1" applyFill="1" applyBorder="1" applyAlignment="1">
      <alignment horizontal="center"/>
    </xf>
    <xf numFmtId="1" fontId="34" fillId="6" borderId="2" xfId="0" applyNumberFormat="1" applyFont="1" applyFill="1" applyBorder="1" applyAlignment="1">
      <alignment horizontal="center"/>
    </xf>
    <xf numFmtId="181" fontId="34" fillId="6" borderId="2" xfId="0" applyNumberFormat="1" applyFont="1" applyFill="1" applyBorder="1" applyAlignment="1">
      <alignment horizontal="center"/>
    </xf>
    <xf numFmtId="181" fontId="34" fillId="6" borderId="22" xfId="0" applyNumberFormat="1" applyFont="1" applyFill="1" applyBorder="1" applyAlignment="1">
      <alignment horizontal="center"/>
    </xf>
    <xf numFmtId="181" fontId="34" fillId="6" borderId="15" xfId="0" applyNumberFormat="1" applyFont="1" applyFill="1" applyBorder="1" applyAlignment="1">
      <alignment horizontal="center"/>
    </xf>
    <xf numFmtId="0" fontId="34" fillId="3" borderId="1" xfId="0" applyFont="1" applyFill="1" applyBorder="1" applyAlignment="1">
      <alignment horizontal="center" shrinkToFit="1"/>
    </xf>
    <xf numFmtId="172" fontId="34" fillId="6" borderId="37" xfId="0" applyNumberFormat="1" applyFont="1" applyFill="1" applyBorder="1" applyAlignment="1">
      <alignment horizontal="center"/>
    </xf>
    <xf numFmtId="184" fontId="34" fillId="6" borderId="0" xfId="2" applyNumberFormat="1" applyFont="1" applyFill="1" applyBorder="1" applyAlignment="1"/>
    <xf numFmtId="172" fontId="34" fillId="6" borderId="0" xfId="2" applyNumberFormat="1" applyFont="1" applyFill="1" applyBorder="1" applyAlignment="1">
      <alignment horizontal="center"/>
    </xf>
    <xf numFmtId="172" fontId="34" fillId="6" borderId="39" xfId="0" applyNumberFormat="1" applyFont="1" applyFill="1" applyBorder="1" applyAlignment="1">
      <alignment horizontal="center"/>
    </xf>
    <xf numFmtId="172" fontId="34" fillId="6" borderId="38" xfId="0" applyNumberFormat="1" applyFont="1" applyFill="1" applyBorder="1" applyAlignment="1">
      <alignment horizontal="center"/>
    </xf>
    <xf numFmtId="184" fontId="34" fillId="6" borderId="1" xfId="2" applyNumberFormat="1" applyFont="1" applyFill="1" applyBorder="1" applyAlignment="1"/>
    <xf numFmtId="172" fontId="34" fillId="6" borderId="1" xfId="2" applyNumberFormat="1" applyFont="1" applyFill="1" applyBorder="1" applyAlignment="1">
      <alignment horizontal="center"/>
    </xf>
    <xf numFmtId="0" fontId="34" fillId="11" borderId="2" xfId="0" applyFont="1" applyFill="1" applyBorder="1" applyAlignment="1">
      <alignment horizontal="center" wrapText="1"/>
    </xf>
    <xf numFmtId="0" fontId="34" fillId="6" borderId="1" xfId="0" applyFont="1" applyFill="1" applyBorder="1" applyAlignment="1">
      <alignment horizontal="left"/>
    </xf>
    <xf numFmtId="0" fontId="34" fillId="11" borderId="1" xfId="0" applyFont="1" applyFill="1" applyBorder="1" applyAlignment="1">
      <alignment horizontal="left"/>
    </xf>
    <xf numFmtId="0" fontId="34" fillId="3" borderId="26" xfId="0" applyFont="1" applyFill="1" applyBorder="1" applyAlignment="1">
      <alignment vertical="center"/>
    </xf>
    <xf numFmtId="0" fontId="34" fillId="3" borderId="6" xfId="0" applyFont="1" applyFill="1" applyBorder="1" applyAlignment="1">
      <alignment vertical="center"/>
    </xf>
    <xf numFmtId="0" fontId="18" fillId="3" borderId="4" xfId="0" applyFont="1" applyFill="1" applyBorder="1" applyAlignment="1">
      <alignment horizontal="center" vertical="center"/>
    </xf>
    <xf numFmtId="0" fontId="34" fillId="0" borderId="6" xfId="0" applyFont="1" applyBorder="1" applyAlignment="1">
      <alignment horizontal="center"/>
    </xf>
    <xf numFmtId="0" fontId="34" fillId="3" borderId="4" xfId="0" applyFont="1" applyFill="1" applyBorder="1" applyAlignment="1">
      <alignment horizontal="center" vertical="center"/>
    </xf>
    <xf numFmtId="0" fontId="18" fillId="3" borderId="25" xfId="0" applyFont="1" applyFill="1" applyBorder="1" applyAlignment="1">
      <alignment horizontal="center" vertical="center"/>
    </xf>
    <xf numFmtId="9" fontId="34" fillId="3" borderId="4" xfId="1" applyFont="1" applyFill="1" applyBorder="1" applyAlignment="1">
      <alignment horizontal="center" vertical="center"/>
    </xf>
    <xf numFmtId="0" fontId="34" fillId="0" borderId="21" xfId="0" applyFont="1" applyBorder="1" applyAlignment="1">
      <alignment horizontal="center"/>
    </xf>
    <xf numFmtId="0" fontId="34" fillId="0" borderId="1" xfId="0" applyFont="1" applyBorder="1" applyAlignment="1">
      <alignment horizontal="center"/>
    </xf>
    <xf numFmtId="0" fontId="34" fillId="3" borderId="2" xfId="0" applyFont="1" applyFill="1" applyBorder="1"/>
    <xf numFmtId="0" fontId="34" fillId="3" borderId="0" xfId="0" applyFont="1" applyFill="1" applyBorder="1"/>
    <xf numFmtId="0" fontId="34" fillId="3" borderId="22" xfId="0" applyFont="1" applyFill="1" applyBorder="1"/>
    <xf numFmtId="0" fontId="34" fillId="3" borderId="1" xfId="0" applyFont="1" applyFill="1" applyBorder="1"/>
    <xf numFmtId="0" fontId="34" fillId="3" borderId="15" xfId="0" applyFont="1" applyFill="1" applyBorder="1"/>
    <xf numFmtId="0" fontId="18" fillId="3" borderId="13" xfId="0" applyFont="1" applyFill="1" applyBorder="1" applyAlignment="1">
      <alignment vertical="center"/>
    </xf>
    <xf numFmtId="0" fontId="34" fillId="3" borderId="23" xfId="0" applyFont="1" applyFill="1" applyBorder="1" applyAlignment="1">
      <alignment horizontal="center" vertical="center"/>
    </xf>
    <xf numFmtId="180" fontId="34" fillId="3" borderId="23" xfId="0" applyNumberFormat="1" applyFont="1" applyFill="1" applyBorder="1" applyAlignment="1">
      <alignment horizontal="center" vertical="center"/>
    </xf>
    <xf numFmtId="9" fontId="34" fillId="3" borderId="23" xfId="0" applyNumberFormat="1" applyFont="1" applyFill="1" applyBorder="1" applyAlignment="1">
      <alignment horizontal="center" vertical="center"/>
    </xf>
    <xf numFmtId="0" fontId="34" fillId="3" borderId="23" xfId="0" applyFont="1" applyFill="1" applyBorder="1" applyAlignment="1">
      <alignment vertical="center"/>
    </xf>
    <xf numFmtId="9" fontId="34" fillId="3" borderId="23" xfId="0" applyNumberFormat="1" applyFont="1" applyFill="1" applyBorder="1" applyAlignment="1">
      <alignment vertical="center"/>
    </xf>
    <xf numFmtId="180" fontId="34" fillId="3" borderId="20" xfId="0" applyNumberFormat="1" applyFont="1" applyFill="1" applyBorder="1" applyAlignment="1">
      <alignment horizontal="center" vertical="center"/>
    </xf>
    <xf numFmtId="0" fontId="34" fillId="3" borderId="20" xfId="0" applyFont="1" applyFill="1" applyBorder="1" applyAlignment="1">
      <alignment vertical="center"/>
    </xf>
    <xf numFmtId="180" fontId="34" fillId="3" borderId="0" xfId="0" applyNumberFormat="1" applyFont="1" applyFill="1" applyAlignment="1">
      <alignment horizontal="center" vertical="center"/>
    </xf>
    <xf numFmtId="0" fontId="34" fillId="3" borderId="19" xfId="0" applyFont="1" applyFill="1" applyBorder="1" applyAlignment="1">
      <alignment vertical="center"/>
    </xf>
    <xf numFmtId="0" fontId="34" fillId="3" borderId="16" xfId="0" applyFont="1" applyFill="1" applyBorder="1" applyAlignment="1">
      <alignment vertical="center"/>
    </xf>
    <xf numFmtId="0" fontId="34" fillId="3" borderId="24" xfId="0" applyFont="1" applyFill="1" applyBorder="1" applyAlignment="1">
      <alignment vertical="center"/>
    </xf>
    <xf numFmtId="0" fontId="34" fillId="3" borderId="0" xfId="0" applyFont="1" applyFill="1" applyBorder="1" applyAlignment="1">
      <alignment vertical="center"/>
    </xf>
    <xf numFmtId="180" fontId="34" fillId="3" borderId="18" xfId="0" applyNumberFormat="1" applyFont="1" applyFill="1" applyBorder="1" applyAlignment="1">
      <alignment horizontal="center" vertical="center"/>
    </xf>
    <xf numFmtId="180" fontId="34" fillId="3" borderId="30" xfId="0" applyNumberFormat="1" applyFont="1" applyFill="1" applyBorder="1" applyAlignment="1">
      <alignment horizontal="center" vertical="center"/>
    </xf>
    <xf numFmtId="0" fontId="34" fillId="3" borderId="21" xfId="0" applyFont="1" applyFill="1" applyBorder="1" applyAlignment="1">
      <alignment vertical="center"/>
    </xf>
    <xf numFmtId="0" fontId="34" fillId="3" borderId="1" xfId="0" applyFont="1" applyFill="1" applyBorder="1" applyAlignment="1">
      <alignment vertical="center"/>
    </xf>
    <xf numFmtId="0" fontId="34" fillId="0" borderId="28" xfId="0" applyFont="1" applyBorder="1" applyAlignment="1"/>
    <xf numFmtId="3" fontId="34" fillId="0" borderId="28" xfId="0" applyNumberFormat="1" applyFont="1" applyBorder="1"/>
    <xf numFmtId="0" fontId="34" fillId="12" borderId="26" xfId="0" applyFont="1" applyFill="1" applyBorder="1" applyAlignment="1">
      <alignment horizontal="center"/>
    </xf>
    <xf numFmtId="0" fontId="34" fillId="3" borderId="1" xfId="0" applyFont="1" applyFill="1" applyBorder="1" applyAlignment="1">
      <alignment horizontal="center" vertical="center"/>
    </xf>
    <xf numFmtId="0" fontId="34" fillId="3" borderId="24" xfId="0" applyFont="1" applyFill="1" applyBorder="1" applyAlignment="1">
      <alignment horizontal="center" vertical="center" wrapText="1"/>
    </xf>
    <xf numFmtId="0" fontId="34" fillId="3" borderId="22" xfId="0" applyFont="1" applyFill="1" applyBorder="1" applyAlignment="1">
      <alignment horizontal="center" vertical="center" wrapText="1"/>
    </xf>
    <xf numFmtId="0" fontId="34" fillId="3" borderId="15" xfId="0" applyFont="1" applyFill="1" applyBorder="1" applyAlignment="1">
      <alignment horizontal="center" vertical="center" wrapText="1"/>
    </xf>
    <xf numFmtId="0" fontId="34" fillId="3" borderId="21" xfId="0" applyFont="1" applyFill="1" applyBorder="1" applyAlignment="1">
      <alignment horizontal="center" vertical="center" wrapText="1"/>
    </xf>
    <xf numFmtId="0" fontId="34" fillId="3" borderId="0" xfId="0" applyFont="1" applyFill="1" applyAlignment="1">
      <alignment horizontal="center"/>
    </xf>
    <xf numFmtId="0" fontId="34" fillId="3" borderId="15" xfId="0" applyFont="1" applyFill="1" applyBorder="1" applyAlignment="1">
      <alignment horizontal="center" vertical="center"/>
    </xf>
    <xf numFmtId="0" fontId="34" fillId="3" borderId="0" xfId="0" applyFont="1" applyFill="1" applyBorder="1" applyAlignment="1">
      <alignment horizontal="center" vertical="center"/>
    </xf>
    <xf numFmtId="0" fontId="6" fillId="0" borderId="4" xfId="0" applyFont="1" applyBorder="1" applyAlignment="1">
      <alignment horizontal="center"/>
    </xf>
    <xf numFmtId="0" fontId="34" fillId="0" borderId="19" xfId="0" applyFont="1" applyBorder="1" applyAlignment="1">
      <alignment horizontal="center" vertical="center"/>
    </xf>
    <xf numFmtId="0" fontId="34" fillId="0" borderId="16" xfId="0" applyFont="1" applyBorder="1" applyAlignment="1">
      <alignment horizontal="center" vertical="center"/>
    </xf>
    <xf numFmtId="0" fontId="34" fillId="3" borderId="15" xfId="0" applyFont="1" applyFill="1" applyBorder="1" applyAlignment="1">
      <alignment horizontal="center" vertical="center"/>
    </xf>
    <xf numFmtId="0" fontId="34" fillId="3" borderId="1" xfId="0" applyFont="1" applyFill="1" applyBorder="1" applyAlignment="1">
      <alignment horizontal="center" vertical="center"/>
    </xf>
    <xf numFmtId="0" fontId="34" fillId="3" borderId="0" xfId="0" applyFont="1" applyFill="1" applyAlignment="1">
      <alignment horizontal="center"/>
    </xf>
    <xf numFmtId="0" fontId="18" fillId="3" borderId="1" xfId="0" applyFont="1" applyFill="1" applyBorder="1" applyAlignment="1">
      <alignment horizontal="center" vertical="center" wrapText="1"/>
    </xf>
    <xf numFmtId="0" fontId="34" fillId="0" borderId="22" xfId="0" applyFont="1" applyFill="1" applyBorder="1" applyAlignment="1">
      <alignment horizontal="center"/>
    </xf>
    <xf numFmtId="0" fontId="34" fillId="0" borderId="24" xfId="0" applyFont="1" applyBorder="1" applyAlignment="1">
      <alignment horizontal="center" vertical="center"/>
    </xf>
    <xf numFmtId="0" fontId="34" fillId="0" borderId="0" xfId="0" applyFont="1" applyBorder="1" applyAlignment="1">
      <alignment horizontal="center" vertical="center"/>
    </xf>
    <xf numFmtId="0" fontId="34" fillId="0" borderId="22" xfId="0" applyFont="1" applyBorder="1" applyAlignment="1">
      <alignment horizontal="center" vertical="center"/>
    </xf>
    <xf numFmtId="0" fontId="18" fillId="0" borderId="1" xfId="0" applyFont="1" applyBorder="1" applyAlignment="1">
      <alignment horizontal="center"/>
    </xf>
    <xf numFmtId="0" fontId="34" fillId="3" borderId="0" xfId="0" applyFont="1" applyFill="1" applyBorder="1" applyAlignment="1">
      <alignment horizontal="center" vertical="center"/>
    </xf>
    <xf numFmtId="0" fontId="34" fillId="3" borderId="0" xfId="0" applyFont="1" applyFill="1" applyBorder="1" applyAlignment="1">
      <alignment horizontal="left" wrapText="1"/>
    </xf>
    <xf numFmtId="0" fontId="34" fillId="3" borderId="21" xfId="0" applyFont="1" applyFill="1" applyBorder="1" applyAlignment="1">
      <alignment horizontal="center" vertical="center"/>
    </xf>
    <xf numFmtId="0" fontId="34" fillId="3" borderId="24" xfId="0" applyFont="1" applyFill="1" applyBorder="1" applyAlignment="1">
      <alignment horizontal="center" vertical="center"/>
    </xf>
    <xf numFmtId="0" fontId="34" fillId="3" borderId="22" xfId="0" applyFont="1" applyFill="1" applyBorder="1" applyAlignment="1">
      <alignment horizontal="center" vertical="center"/>
    </xf>
    <xf numFmtId="2" fontId="34" fillId="3" borderId="0" xfId="0" applyNumberFormat="1" applyFont="1" applyFill="1" applyBorder="1" applyAlignment="1">
      <alignment horizontal="center" vertical="center"/>
    </xf>
    <xf numFmtId="181" fontId="34" fillId="3" borderId="0" xfId="0" applyNumberFormat="1" applyFont="1" applyFill="1" applyBorder="1" applyAlignment="1">
      <alignment horizontal="center" vertical="center"/>
    </xf>
    <xf numFmtId="2" fontId="34" fillId="3" borderId="1" xfId="0" applyNumberFormat="1" applyFont="1" applyFill="1" applyBorder="1" applyAlignment="1">
      <alignment horizontal="center" vertical="center"/>
    </xf>
    <xf numFmtId="181" fontId="34" fillId="3" borderId="1" xfId="0" applyNumberFormat="1" applyFont="1" applyFill="1" applyBorder="1" applyAlignment="1">
      <alignment horizontal="center" vertical="center"/>
    </xf>
    <xf numFmtId="0" fontId="34" fillId="3" borderId="13" xfId="0" applyFont="1" applyFill="1" applyBorder="1" applyAlignment="1">
      <alignment horizontal="center" vertical="center" wrapText="1"/>
    </xf>
    <xf numFmtId="0" fontId="18" fillId="3" borderId="24" xfId="0" applyFont="1" applyFill="1" applyBorder="1" applyAlignment="1">
      <alignment horizontal="center" vertical="center" wrapText="1"/>
    </xf>
    <xf numFmtId="0" fontId="18" fillId="3" borderId="22" xfId="0" applyFont="1" applyFill="1" applyBorder="1" applyAlignment="1">
      <alignment horizontal="center" vertical="center" wrapText="1"/>
    </xf>
    <xf numFmtId="0" fontId="34" fillId="0" borderId="0" xfId="0" applyFont="1" applyAlignment="1">
      <alignment horizontal="center"/>
    </xf>
    <xf numFmtId="0" fontId="34" fillId="0" borderId="4" xfId="0" applyFont="1" applyBorder="1" applyAlignment="1">
      <alignment horizontal="center"/>
    </xf>
    <xf numFmtId="3" fontId="34" fillId="0" borderId="0" xfId="0" applyNumberFormat="1" applyFont="1" applyAlignment="1">
      <alignment horizontal="center"/>
    </xf>
    <xf numFmtId="0" fontId="34" fillId="0" borderId="26" xfId="0" applyFont="1" applyBorder="1" applyAlignment="1">
      <alignment horizontal="center"/>
    </xf>
    <xf numFmtId="0" fontId="34" fillId="0" borderId="25" xfId="0" applyFont="1" applyBorder="1"/>
    <xf numFmtId="0" fontId="34" fillId="0" borderId="14" xfId="0" applyFont="1" applyBorder="1" applyAlignment="1">
      <alignment horizontal="center"/>
    </xf>
    <xf numFmtId="0" fontId="34" fillId="0" borderId="13" xfId="0" applyFont="1" applyBorder="1"/>
    <xf numFmtId="3" fontId="34" fillId="0" borderId="14" xfId="0" applyNumberFormat="1" applyFont="1" applyBorder="1" applyAlignment="1">
      <alignment horizontal="center"/>
    </xf>
    <xf numFmtId="181" fontId="34" fillId="0" borderId="13" xfId="0" applyNumberFormat="1" applyFont="1" applyBorder="1" applyAlignment="1">
      <alignment horizontal="center"/>
    </xf>
    <xf numFmtId="0" fontId="18" fillId="3" borderId="2" xfId="0" applyFont="1" applyFill="1" applyBorder="1" applyAlignment="1">
      <alignment horizontal="center" vertical="center"/>
    </xf>
    <xf numFmtId="0" fontId="18" fillId="3" borderId="1" xfId="0" applyFont="1" applyFill="1" applyBorder="1" applyAlignment="1">
      <alignment horizontal="center" vertical="center"/>
    </xf>
    <xf numFmtId="0" fontId="34" fillId="3" borderId="2" xfId="0" applyFont="1" applyFill="1" applyBorder="1" applyAlignment="1">
      <alignment vertical="center"/>
    </xf>
    <xf numFmtId="0" fontId="18" fillId="0" borderId="4" xfId="0" applyFont="1" applyBorder="1" applyAlignment="1">
      <alignment horizontal="center"/>
    </xf>
    <xf numFmtId="0" fontId="18" fillId="0" borderId="26" xfId="0" applyFont="1" applyBorder="1" applyAlignment="1">
      <alignment horizontal="center"/>
    </xf>
    <xf numFmtId="0" fontId="18" fillId="0" borderId="2" xfId="0" applyFont="1" applyBorder="1" applyAlignment="1">
      <alignment horizontal="center" vertical="center" wrapText="1"/>
    </xf>
    <xf numFmtId="0" fontId="18" fillId="3" borderId="15" xfId="0" applyFont="1" applyFill="1" applyBorder="1" applyAlignment="1">
      <alignment horizontal="center" vertical="center"/>
    </xf>
    <xf numFmtId="0" fontId="34" fillId="0" borderId="0" xfId="0" applyFont="1" applyAlignment="1">
      <alignment horizontal="center"/>
    </xf>
    <xf numFmtId="0" fontId="18" fillId="3" borderId="0" xfId="0" applyFont="1" applyFill="1" applyAlignment="1"/>
    <xf numFmtId="0" fontId="18" fillId="3" borderId="1" xfId="0" applyFont="1" applyFill="1" applyBorder="1" applyAlignment="1">
      <alignment horizontal="center" vertical="center"/>
    </xf>
    <xf numFmtId="0" fontId="34" fillId="3" borderId="24" xfId="0" applyFont="1" applyFill="1" applyBorder="1" applyAlignment="1">
      <alignment horizontal="center"/>
    </xf>
    <xf numFmtId="0" fontId="34" fillId="3" borderId="22" xfId="0" applyFont="1" applyFill="1" applyBorder="1" applyAlignment="1">
      <alignment horizontal="center"/>
    </xf>
    <xf numFmtId="0" fontId="34" fillId="3" borderId="0" xfId="0" applyFont="1" applyFill="1" applyBorder="1" applyAlignment="1">
      <alignment horizontal="center"/>
    </xf>
    <xf numFmtId="0" fontId="34" fillId="3" borderId="16" xfId="0" applyFont="1" applyFill="1" applyBorder="1" applyAlignment="1">
      <alignment horizontal="center"/>
    </xf>
    <xf numFmtId="0" fontId="18" fillId="3" borderId="13" xfId="0" applyFont="1" applyFill="1" applyBorder="1" applyAlignment="1">
      <alignment horizontal="center" vertical="center" wrapText="1"/>
    </xf>
    <xf numFmtId="0" fontId="18" fillId="3" borderId="16" xfId="0" applyFont="1" applyFill="1" applyBorder="1" applyAlignment="1">
      <alignment horizontal="center" vertical="center" wrapText="1"/>
    </xf>
    <xf numFmtId="0" fontId="34" fillId="0" borderId="0" xfId="0" applyFont="1" applyFill="1"/>
    <xf numFmtId="0" fontId="18" fillId="3" borderId="15" xfId="0" applyFont="1" applyFill="1" applyBorder="1" applyAlignment="1">
      <alignment horizontal="center" vertical="center" wrapText="1"/>
    </xf>
    <xf numFmtId="0" fontId="34" fillId="0" borderId="0" xfId="0" applyFont="1" applyFill="1" applyBorder="1" applyAlignment="1">
      <alignment horizontal="left" vertical="center"/>
    </xf>
    <xf numFmtId="0" fontId="34" fillId="0" borderId="0" xfId="0" applyFont="1" applyFill="1" applyBorder="1" applyAlignment="1">
      <alignment horizontal="center" vertical="center"/>
    </xf>
    <xf numFmtId="0" fontId="34" fillId="0" borderId="19" xfId="0" applyFont="1" applyFill="1" applyBorder="1" applyAlignment="1">
      <alignment horizontal="center"/>
    </xf>
    <xf numFmtId="0" fontId="34" fillId="0" borderId="16" xfId="0" applyFont="1" applyFill="1" applyBorder="1" applyAlignment="1">
      <alignment horizontal="center"/>
    </xf>
    <xf numFmtId="0" fontId="34" fillId="0" borderId="2" xfId="0" applyFont="1" applyFill="1" applyBorder="1" applyAlignment="1">
      <alignment horizontal="center"/>
    </xf>
    <xf numFmtId="0" fontId="34" fillId="0" borderId="24" xfId="0" applyFont="1" applyFill="1" applyBorder="1" applyAlignment="1">
      <alignment horizontal="center"/>
    </xf>
    <xf numFmtId="0" fontId="34" fillId="0" borderId="0" xfId="0" applyFont="1" applyFill="1" applyBorder="1" applyAlignment="1">
      <alignment horizontal="center"/>
    </xf>
    <xf numFmtId="1" fontId="34" fillId="0" borderId="24" xfId="0" applyNumberFormat="1" applyFont="1" applyFill="1" applyBorder="1" applyAlignment="1">
      <alignment horizontal="center" vertical="center"/>
    </xf>
    <xf numFmtId="1" fontId="34" fillId="0" borderId="22" xfId="0" applyNumberFormat="1" applyFont="1" applyFill="1" applyBorder="1" applyAlignment="1">
      <alignment horizontal="center" vertical="center"/>
    </xf>
    <xf numFmtId="0" fontId="34" fillId="0" borderId="24" xfId="0" applyFont="1" applyFill="1" applyBorder="1" applyAlignment="1">
      <alignment horizontal="center" vertical="center"/>
    </xf>
    <xf numFmtId="0" fontId="34" fillId="0" borderId="22" xfId="0" applyFont="1" applyFill="1" applyBorder="1" applyAlignment="1">
      <alignment horizontal="center" vertical="center"/>
    </xf>
    <xf numFmtId="1" fontId="34" fillId="0" borderId="0" xfId="0" applyNumberFormat="1" applyFont="1" applyFill="1" applyBorder="1" applyAlignment="1">
      <alignment horizontal="center" vertical="center"/>
    </xf>
    <xf numFmtId="1" fontId="34" fillId="0" borderId="21" xfId="0" applyNumberFormat="1" applyFont="1" applyFill="1" applyBorder="1" applyAlignment="1">
      <alignment horizontal="center" vertical="center"/>
    </xf>
    <xf numFmtId="1" fontId="34" fillId="0" borderId="15" xfId="0" applyNumberFormat="1" applyFont="1" applyFill="1" applyBorder="1" applyAlignment="1">
      <alignment horizontal="center" vertical="center"/>
    </xf>
    <xf numFmtId="1" fontId="34" fillId="0" borderId="1" xfId="0" applyNumberFormat="1" applyFont="1" applyFill="1" applyBorder="1" applyAlignment="1">
      <alignment horizontal="center" vertical="center"/>
    </xf>
    <xf numFmtId="0" fontId="34" fillId="0" borderId="15" xfId="0" applyFont="1" applyFill="1" applyBorder="1" applyAlignment="1">
      <alignment horizontal="center" vertical="center"/>
    </xf>
    <xf numFmtId="0" fontId="18" fillId="0" borderId="0" xfId="0" applyFont="1" applyFill="1" applyBorder="1"/>
    <xf numFmtId="0" fontId="18" fillId="0" borderId="24"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9" xfId="0" applyFont="1" applyBorder="1" applyAlignment="1">
      <alignment horizontal="center" vertical="center"/>
    </xf>
    <xf numFmtId="0" fontId="18" fillId="0" borderId="2" xfId="0" applyFont="1" applyBorder="1" applyAlignment="1">
      <alignment horizontal="center" vertical="center"/>
    </xf>
    <xf numFmtId="0" fontId="18" fillId="0" borderId="16" xfId="0" applyFont="1" applyBorder="1" applyAlignment="1">
      <alignment horizontal="center" vertical="center"/>
    </xf>
    <xf numFmtId="0" fontId="18" fillId="0" borderId="15" xfId="0" applyFont="1" applyBorder="1" applyAlignment="1">
      <alignment horizontal="center" vertical="center"/>
    </xf>
    <xf numFmtId="181" fontId="34" fillId="0" borderId="24" xfId="0" applyNumberFormat="1" applyFont="1" applyBorder="1" applyAlignment="1">
      <alignment horizontal="center" vertical="center"/>
    </xf>
    <xf numFmtId="181" fontId="34" fillId="0" borderId="0" xfId="0" applyNumberFormat="1" applyFont="1" applyBorder="1" applyAlignment="1">
      <alignment horizontal="center" vertical="center"/>
    </xf>
    <xf numFmtId="181" fontId="34" fillId="0" borderId="22" xfId="0" applyNumberFormat="1" applyFont="1" applyBorder="1" applyAlignment="1">
      <alignment horizontal="center" vertical="center"/>
    </xf>
    <xf numFmtId="0" fontId="34" fillId="0" borderId="0" xfId="0" applyFont="1" applyBorder="1" applyAlignment="1">
      <alignment horizontal="center" vertical="center" wrapText="1"/>
    </xf>
    <xf numFmtId="0" fontId="34" fillId="0" borderId="21" xfId="0" applyFont="1" applyBorder="1" applyAlignment="1">
      <alignment horizontal="center" vertical="center"/>
    </xf>
    <xf numFmtId="181" fontId="34" fillId="0" borderId="21" xfId="0" applyNumberFormat="1" applyFont="1" applyBorder="1" applyAlignment="1">
      <alignment horizontal="center" vertical="center"/>
    </xf>
    <xf numFmtId="181" fontId="34" fillId="0" borderId="1" xfId="0" applyNumberFormat="1" applyFont="1" applyBorder="1" applyAlignment="1">
      <alignment horizontal="center" vertical="center"/>
    </xf>
    <xf numFmtId="181" fontId="34" fillId="0" borderId="15" xfId="0" applyNumberFormat="1" applyFont="1" applyBorder="1" applyAlignment="1">
      <alignment horizontal="center" vertical="center"/>
    </xf>
    <xf numFmtId="0" fontId="18" fillId="0" borderId="1" xfId="0" applyFont="1" applyBorder="1" applyAlignment="1">
      <alignment horizontal="center" vertical="center"/>
    </xf>
    <xf numFmtId="0" fontId="34" fillId="0" borderId="0" xfId="0" applyFont="1" applyAlignment="1">
      <alignment horizontal="left"/>
    </xf>
    <xf numFmtId="0" fontId="6" fillId="0" borderId="0" xfId="0" applyFont="1" applyAlignment="1">
      <alignment horizontal="left" wrapText="1"/>
    </xf>
    <xf numFmtId="0" fontId="34" fillId="0" borderId="0" xfId="0" applyFont="1" applyAlignment="1">
      <alignment horizontal="center"/>
    </xf>
    <xf numFmtId="0" fontId="34" fillId="0" borderId="0" xfId="0" applyFont="1" applyAlignment="1">
      <alignment vertical="center"/>
    </xf>
    <xf numFmtId="0" fontId="34" fillId="0" borderId="13" xfId="0" applyFont="1" applyBorder="1" applyAlignment="1">
      <alignment horizontal="center"/>
    </xf>
    <xf numFmtId="0" fontId="18" fillId="3" borderId="15" xfId="0" applyFont="1" applyFill="1" applyBorder="1" applyAlignment="1">
      <alignment horizontal="center"/>
    </xf>
    <xf numFmtId="0" fontId="18" fillId="0" borderId="26" xfId="0" applyFont="1" applyBorder="1" applyAlignment="1"/>
    <xf numFmtId="0" fontId="18" fillId="0" borderId="6" xfId="0" applyFont="1" applyBorder="1" applyAlignment="1"/>
    <xf numFmtId="0" fontId="18" fillId="0" borderId="19" xfId="0" applyFont="1" applyBorder="1" applyAlignment="1">
      <alignment horizontal="center" vertical="center"/>
    </xf>
    <xf numFmtId="0" fontId="18" fillId="0" borderId="16" xfId="0" applyFont="1" applyBorder="1" applyAlignment="1">
      <alignment horizontal="center" vertical="center"/>
    </xf>
    <xf numFmtId="0" fontId="0" fillId="0" borderId="12" xfId="0" applyBorder="1"/>
    <xf numFmtId="0" fontId="11" fillId="0" borderId="4" xfId="0" applyFont="1" applyBorder="1" applyAlignment="1">
      <alignment horizontal="center"/>
    </xf>
    <xf numFmtId="172" fontId="11" fillId="0" borderId="4" xfId="0" applyNumberFormat="1" applyFont="1" applyBorder="1" applyAlignment="1">
      <alignment horizontal="center"/>
    </xf>
    <xf numFmtId="0" fontId="11" fillId="0" borderId="4" xfId="0" applyFont="1" applyBorder="1" applyAlignment="1">
      <alignment horizontal="left"/>
    </xf>
    <xf numFmtId="0" fontId="33" fillId="3" borderId="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10" fillId="3" borderId="3" xfId="0" applyFont="1" applyFill="1" applyBorder="1" applyAlignment="1">
      <alignment horizontal="left" vertical="center" wrapText="1"/>
    </xf>
    <xf numFmtId="2" fontId="11" fillId="0" borderId="4" xfId="0" applyNumberFormat="1" applyFont="1" applyBorder="1" applyAlignment="1">
      <alignment horizontal="center"/>
    </xf>
    <xf numFmtId="0" fontId="14" fillId="2" borderId="1" xfId="0" applyFont="1" applyFill="1" applyBorder="1" applyAlignment="1">
      <alignment horizontal="center" vertical="center"/>
    </xf>
    <xf numFmtId="0" fontId="11" fillId="0" borderId="0" xfId="0" applyFont="1" applyAlignment="1">
      <alignment horizontal="center"/>
    </xf>
    <xf numFmtId="0" fontId="11" fillId="0" borderId="0" xfId="0" applyFont="1" applyAlignment="1">
      <alignment horizontal="left" wrapText="1"/>
    </xf>
    <xf numFmtId="0" fontId="33" fillId="3" borderId="9"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33" fillId="0" borderId="4" xfId="0" applyFont="1" applyBorder="1" applyAlignment="1">
      <alignment horizontal="center"/>
    </xf>
    <xf numFmtId="0" fontId="33" fillId="0" borderId="10" xfId="0" applyFont="1" applyBorder="1" applyAlignment="1">
      <alignment horizontal="center" vertical="center"/>
    </xf>
    <xf numFmtId="0" fontId="33" fillId="0" borderId="11" xfId="0" applyFont="1" applyBorder="1" applyAlignment="1">
      <alignment horizontal="center" vertical="center"/>
    </xf>
    <xf numFmtId="0" fontId="10" fillId="3" borderId="0" xfId="0" applyFont="1" applyFill="1" applyAlignment="1">
      <alignment horizontal="left" vertical="center" wrapText="1"/>
    </xf>
    <xf numFmtId="0" fontId="33" fillId="0" borderId="11" xfId="0" applyFont="1" applyBorder="1" applyAlignment="1">
      <alignment horizontal="center"/>
    </xf>
    <xf numFmtId="0" fontId="33" fillId="0" borderId="10" xfId="0" applyFont="1" applyBorder="1" applyAlignment="1">
      <alignment horizontal="center"/>
    </xf>
    <xf numFmtId="0" fontId="33" fillId="0" borderId="4" xfId="0" applyFont="1" applyBorder="1" applyAlignment="1">
      <alignment horizontal="center" vertical="center"/>
    </xf>
    <xf numFmtId="0" fontId="31" fillId="0" borderId="12" xfId="0" applyFont="1" applyBorder="1" applyAlignment="1">
      <alignment horizontal="left" wrapText="1"/>
    </xf>
    <xf numFmtId="0" fontId="11" fillId="0" borderId="12" xfId="0" applyFont="1" applyBorder="1" applyAlignment="1">
      <alignment horizontal="left" wrapText="1"/>
    </xf>
    <xf numFmtId="0" fontId="10" fillId="0" borderId="4" xfId="0" applyFont="1" applyBorder="1" applyAlignment="1">
      <alignment horizontal="center"/>
    </xf>
    <xf numFmtId="0" fontId="10" fillId="0" borderId="4" xfId="0" applyFont="1" applyBorder="1" applyAlignment="1">
      <alignment horizontal="center" vertical="center"/>
    </xf>
    <xf numFmtId="0" fontId="31" fillId="0" borderId="4" xfId="0" applyFont="1" applyBorder="1" applyAlignment="1">
      <alignment horizontal="center" vertical="center"/>
    </xf>
    <xf numFmtId="0" fontId="31" fillId="0" borderId="0" xfId="0" applyFont="1" applyAlignment="1">
      <alignment horizontal="left" wrapText="1"/>
    </xf>
    <xf numFmtId="0" fontId="31" fillId="0" borderId="0" xfId="0" applyFont="1" applyBorder="1" applyAlignment="1">
      <alignment horizontal="center" vertical="center"/>
    </xf>
    <xf numFmtId="0" fontId="31" fillId="0" borderId="0" xfId="0" applyFont="1" applyBorder="1" applyAlignment="1">
      <alignment horizontal="left" vertical="center" wrapText="1"/>
    </xf>
    <xf numFmtId="0" fontId="11" fillId="0" borderId="0" xfId="0" applyFont="1" applyBorder="1" applyAlignment="1">
      <alignment horizontal="left" vertical="center" wrapText="1"/>
    </xf>
    <xf numFmtId="0" fontId="11" fillId="0" borderId="3" xfId="0" applyFont="1" applyBorder="1" applyAlignment="1">
      <alignment horizontal="left" vertical="center" wrapText="1"/>
    </xf>
    <xf numFmtId="0" fontId="31" fillId="0" borderId="0" xfId="0" applyFont="1" applyAlignment="1">
      <alignment horizontal="left" vertical="center" wrapText="1"/>
    </xf>
    <xf numFmtId="0" fontId="11" fillId="0" borderId="0" xfId="0" applyFont="1" applyAlignment="1">
      <alignment horizontal="left" vertical="center" wrapText="1"/>
    </xf>
    <xf numFmtId="0" fontId="31"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3" xfId="0" applyFont="1" applyFill="1" applyBorder="1" applyAlignment="1">
      <alignment horizontal="left" vertical="top" wrapText="1"/>
    </xf>
    <xf numFmtId="0" fontId="3" fillId="2" borderId="12" xfId="0" applyFont="1" applyFill="1" applyBorder="1" applyAlignment="1">
      <alignment horizontal="center" vertical="center"/>
    </xf>
    <xf numFmtId="174" fontId="11" fillId="0" borderId="4" xfId="1" applyNumberFormat="1" applyFont="1" applyBorder="1" applyAlignment="1">
      <alignment horizontal="center"/>
    </xf>
    <xf numFmtId="0" fontId="33" fillId="0" borderId="0" xfId="0" applyFont="1" applyBorder="1" applyAlignment="1">
      <alignment horizontal="left" vertical="center" wrapText="1"/>
    </xf>
    <xf numFmtId="0" fontId="10" fillId="0" borderId="0" xfId="0" applyFont="1" applyBorder="1" applyAlignment="1">
      <alignment horizontal="left" vertical="center" wrapText="1"/>
    </xf>
    <xf numFmtId="0" fontId="10" fillId="0" borderId="3" xfId="0" applyFont="1" applyBorder="1" applyAlignment="1">
      <alignment horizontal="left" vertical="center" wrapText="1"/>
    </xf>
    <xf numFmtId="0" fontId="11" fillId="0" borderId="26" xfId="0" applyFont="1" applyBorder="1" applyAlignment="1">
      <alignment horizontal="center"/>
    </xf>
    <xf numFmtId="0" fontId="11" fillId="0" borderId="12" xfId="0" applyFont="1" applyBorder="1" applyAlignment="1">
      <alignment horizontal="center"/>
    </xf>
    <xf numFmtId="0" fontId="11" fillId="0" borderId="6" xfId="0" applyFont="1" applyBorder="1" applyAlignment="1">
      <alignment horizontal="center"/>
    </xf>
    <xf numFmtId="0" fontId="18" fillId="3" borderId="0" xfId="0" applyFont="1" applyFill="1" applyAlignment="1">
      <alignment horizontal="left" wrapText="1"/>
    </xf>
    <xf numFmtId="0" fontId="37" fillId="10" borderId="9" xfId="0" applyFont="1" applyFill="1" applyBorder="1" applyAlignment="1">
      <alignment horizontal="center" vertical="center" wrapText="1"/>
    </xf>
    <xf numFmtId="0" fontId="37" fillId="10" borderId="0" xfId="0" applyFont="1" applyFill="1" applyBorder="1" applyAlignment="1">
      <alignment horizontal="center" vertical="center" wrapText="1"/>
    </xf>
    <xf numFmtId="0" fontId="18" fillId="3" borderId="14" xfId="0" applyFont="1" applyFill="1" applyBorder="1" applyAlignment="1">
      <alignment horizontal="center" vertical="center"/>
    </xf>
    <xf numFmtId="0" fontId="34" fillId="6" borderId="25" xfId="0" applyFont="1" applyFill="1" applyBorder="1" applyAlignment="1">
      <alignment horizontal="center"/>
    </xf>
    <xf numFmtId="0" fontId="34" fillId="6" borderId="14" xfId="0" applyFont="1" applyFill="1" applyBorder="1" applyAlignment="1">
      <alignment horizontal="center"/>
    </xf>
    <xf numFmtId="0" fontId="34" fillId="6" borderId="13" xfId="0" applyFont="1" applyFill="1" applyBorder="1" applyAlignment="1">
      <alignment horizontal="center"/>
    </xf>
    <xf numFmtId="0" fontId="34" fillId="0" borderId="16" xfId="0" applyFont="1" applyBorder="1" applyAlignment="1">
      <alignment vertical="center"/>
    </xf>
    <xf numFmtId="0" fontId="34" fillId="0" borderId="15" xfId="0" applyFont="1" applyBorder="1" applyAlignment="1">
      <alignment vertical="center"/>
    </xf>
    <xf numFmtId="0" fontId="34" fillId="0" borderId="19" xfId="0" applyFont="1" applyBorder="1" applyAlignment="1">
      <alignment horizontal="center" vertical="center"/>
    </xf>
    <xf numFmtId="0" fontId="34" fillId="0" borderId="2" xfId="0" applyFont="1" applyBorder="1" applyAlignment="1">
      <alignment horizontal="center" vertical="center"/>
    </xf>
    <xf numFmtId="0" fontId="34" fillId="0" borderId="16" xfId="0" applyFont="1" applyBorder="1" applyAlignment="1">
      <alignment horizontal="center" vertical="center"/>
    </xf>
    <xf numFmtId="0" fontId="34" fillId="0" borderId="19" xfId="0" applyFont="1" applyBorder="1" applyAlignment="1">
      <alignment horizontal="center" vertical="center" wrapText="1"/>
    </xf>
    <xf numFmtId="0" fontId="34" fillId="0" borderId="2" xfId="0" applyFont="1" applyBorder="1" applyAlignment="1">
      <alignment horizontal="center" vertical="center" wrapText="1"/>
    </xf>
    <xf numFmtId="0" fontId="10" fillId="0" borderId="1" xfId="0" applyFont="1" applyBorder="1" applyAlignment="1">
      <alignment horizontal="center" vertical="center"/>
    </xf>
    <xf numFmtId="3" fontId="6" fillId="0" borderId="0" xfId="0" applyNumberFormat="1" applyFont="1" applyAlignment="1">
      <alignment horizontal="left"/>
    </xf>
    <xf numFmtId="0" fontId="6" fillId="0" borderId="5" xfId="0" applyFont="1" applyBorder="1" applyAlignment="1">
      <alignment horizontal="center"/>
    </xf>
    <xf numFmtId="0" fontId="6" fillId="0" borderId="9" xfId="0" applyFont="1" applyBorder="1" applyAlignment="1">
      <alignment horizontal="center"/>
    </xf>
    <xf numFmtId="0" fontId="6" fillId="0" borderId="17" xfId="0" applyFont="1" applyBorder="1" applyAlignment="1">
      <alignment horizontal="center"/>
    </xf>
    <xf numFmtId="0" fontId="6" fillId="0" borderId="28" xfId="0" applyFont="1" applyBorder="1" applyAlignment="1">
      <alignment horizontal="center"/>
    </xf>
    <xf numFmtId="0" fontId="6" fillId="0" borderId="0" xfId="0" applyFont="1" applyBorder="1" applyAlignment="1">
      <alignment horizontal="center"/>
    </xf>
    <xf numFmtId="0" fontId="6" fillId="0" borderId="29" xfId="0" applyFont="1" applyBorder="1" applyAlignment="1">
      <alignment horizontal="center"/>
    </xf>
    <xf numFmtId="0" fontId="11" fillId="0" borderId="0" xfId="0" applyFont="1" applyBorder="1" applyAlignment="1">
      <alignment horizontal="center" vertical="center"/>
    </xf>
    <xf numFmtId="0" fontId="34" fillId="6" borderId="16" xfId="0" applyFont="1" applyFill="1" applyBorder="1" applyAlignment="1">
      <alignment horizontal="center" vertical="center"/>
    </xf>
    <xf numFmtId="0" fontId="34" fillId="6" borderId="15" xfId="0" applyFont="1" applyFill="1" applyBorder="1" applyAlignment="1">
      <alignment horizontal="center" vertical="center"/>
    </xf>
    <xf numFmtId="0" fontId="18" fillId="6" borderId="38" xfId="0" applyFont="1" applyFill="1" applyBorder="1" applyAlignment="1">
      <alignment horizontal="center" vertical="center"/>
    </xf>
    <xf numFmtId="0" fontId="18" fillId="6" borderId="1" xfId="0" applyFont="1" applyFill="1" applyBorder="1" applyAlignment="1">
      <alignment horizontal="center" vertical="center"/>
    </xf>
    <xf numFmtId="0" fontId="18" fillId="3" borderId="0" xfId="0" applyFont="1" applyFill="1" applyAlignment="1">
      <alignment horizontal="left" vertical="center" wrapText="1"/>
    </xf>
    <xf numFmtId="0" fontId="25" fillId="3" borderId="0" xfId="0" applyFont="1" applyFill="1" applyAlignment="1">
      <alignment horizontal="left" vertical="center" wrapText="1"/>
    </xf>
    <xf numFmtId="0" fontId="18" fillId="6" borderId="19" xfId="0" applyFont="1" applyFill="1" applyBorder="1" applyAlignment="1">
      <alignment horizontal="center" vertical="center"/>
    </xf>
    <xf numFmtId="0" fontId="18" fillId="6" borderId="2" xfId="0" applyFont="1" applyFill="1" applyBorder="1" applyAlignment="1">
      <alignment horizontal="center" vertical="center"/>
    </xf>
    <xf numFmtId="0" fontId="18" fillId="6" borderId="16" xfId="0" applyFont="1" applyFill="1" applyBorder="1" applyAlignment="1">
      <alignment horizontal="center" vertical="center"/>
    </xf>
    <xf numFmtId="0" fontId="18" fillId="9" borderId="0" xfId="0" applyFont="1" applyFill="1" applyBorder="1" applyAlignment="1">
      <alignment horizontal="center" vertical="center"/>
    </xf>
    <xf numFmtId="0" fontId="18" fillId="9" borderId="3"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3" xfId="0" applyFont="1" applyFill="1" applyBorder="1" applyAlignment="1">
      <alignment horizontal="center" vertical="center"/>
    </xf>
    <xf numFmtId="0" fontId="18" fillId="6" borderId="36" xfId="0" applyFont="1" applyFill="1" applyBorder="1" applyAlignment="1">
      <alignment horizontal="center" vertical="center"/>
    </xf>
    <xf numFmtId="0" fontId="18" fillId="6" borderId="14" xfId="0" applyFont="1" applyFill="1" applyBorder="1" applyAlignment="1">
      <alignment horizontal="center" vertical="center"/>
    </xf>
    <xf numFmtId="0" fontId="27" fillId="3" borderId="0" xfId="0" applyFont="1" applyFill="1" applyAlignment="1">
      <alignment horizontal="left" wrapText="1"/>
    </xf>
    <xf numFmtId="0" fontId="18" fillId="6" borderId="0" xfId="0" applyFont="1" applyFill="1" applyAlignment="1">
      <alignment horizontal="left" wrapText="1"/>
    </xf>
    <xf numFmtId="0" fontId="27" fillId="6" borderId="0" xfId="0" applyFont="1" applyFill="1" applyAlignment="1">
      <alignment horizontal="left" wrapText="1"/>
    </xf>
    <xf numFmtId="0" fontId="34" fillId="6" borderId="14" xfId="0" applyFont="1" applyFill="1" applyBorder="1" applyAlignment="1">
      <alignment horizontal="left" wrapText="1"/>
    </xf>
    <xf numFmtId="0" fontId="34" fillId="3" borderId="16" xfId="0" applyFont="1" applyFill="1" applyBorder="1" applyAlignment="1">
      <alignment horizontal="center" vertical="center"/>
    </xf>
    <xf numFmtId="0" fontId="34" fillId="3" borderId="15" xfId="0" applyFont="1" applyFill="1" applyBorder="1" applyAlignment="1">
      <alignment horizontal="center" vertical="center"/>
    </xf>
    <xf numFmtId="0" fontId="34" fillId="3" borderId="2" xfId="0" applyFont="1" applyFill="1" applyBorder="1" applyAlignment="1">
      <alignment horizontal="center" vertical="center"/>
    </xf>
    <xf numFmtId="0" fontId="34" fillId="3" borderId="1" xfId="0" applyFont="1" applyFill="1" applyBorder="1" applyAlignment="1">
      <alignment horizontal="center" vertical="center"/>
    </xf>
    <xf numFmtId="0" fontId="18" fillId="3" borderId="2" xfId="0" applyFont="1" applyFill="1" applyBorder="1" applyAlignment="1">
      <alignment horizontal="left" vertical="center" wrapText="1"/>
    </xf>
    <xf numFmtId="0" fontId="18" fillId="3" borderId="0" xfId="0" applyFont="1" applyFill="1" applyBorder="1" applyAlignment="1">
      <alignment horizontal="left" vertical="center" wrapText="1"/>
    </xf>
    <xf numFmtId="0" fontId="33" fillId="3" borderId="14" xfId="0" applyFont="1" applyFill="1" applyBorder="1" applyAlignment="1">
      <alignment horizontal="center" vertical="center" wrapText="1"/>
    </xf>
    <xf numFmtId="0" fontId="33" fillId="3" borderId="13"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8" fillId="0" borderId="0" xfId="0" applyFont="1" applyAlignment="1">
      <alignment horizontal="left"/>
    </xf>
    <xf numFmtId="0" fontId="6" fillId="3" borderId="15" xfId="0" applyFont="1" applyFill="1" applyBorder="1" applyAlignment="1">
      <alignment horizontal="center"/>
    </xf>
    <xf numFmtId="0" fontId="6" fillId="3" borderId="20" xfId="0" applyFont="1" applyFill="1" applyBorder="1" applyAlignment="1">
      <alignment horizontal="center"/>
    </xf>
    <xf numFmtId="0" fontId="34" fillId="3" borderId="0" xfId="0" applyFont="1" applyFill="1" applyAlignment="1">
      <alignment horizontal="center"/>
    </xf>
    <xf numFmtId="0" fontId="6" fillId="3" borderId="0" xfId="0" applyFont="1" applyFill="1" applyAlignment="1">
      <alignment horizontal="center"/>
    </xf>
    <xf numFmtId="0" fontId="33" fillId="3" borderId="19" xfId="0" applyFont="1" applyFill="1" applyBorder="1" applyAlignment="1">
      <alignment horizontal="center" vertical="center" wrapText="1"/>
    </xf>
    <xf numFmtId="0" fontId="33" fillId="3" borderId="21" xfId="0" applyFont="1" applyFill="1" applyBorder="1" applyAlignment="1">
      <alignment horizontal="center" vertical="center" wrapText="1"/>
    </xf>
    <xf numFmtId="0" fontId="18" fillId="3" borderId="9"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3" borderId="0" xfId="0" applyFont="1" applyFill="1" applyBorder="1" applyAlignment="1">
      <alignment horizontal="left" vertical="top" wrapText="1"/>
    </xf>
    <xf numFmtId="0" fontId="33" fillId="3" borderId="16" xfId="0" applyFont="1" applyFill="1" applyBorder="1" applyAlignment="1">
      <alignment horizontal="center" vertical="center" wrapText="1"/>
    </xf>
    <xf numFmtId="0" fontId="33" fillId="3" borderId="18" xfId="0" applyFont="1" applyFill="1" applyBorder="1" applyAlignment="1">
      <alignment horizontal="center" vertical="center" wrapText="1"/>
    </xf>
    <xf numFmtId="0" fontId="33" fillId="3" borderId="15" xfId="0" applyFont="1" applyFill="1" applyBorder="1" applyAlignment="1">
      <alignment horizontal="center" vertical="center" wrapText="1"/>
    </xf>
    <xf numFmtId="0" fontId="33" fillId="3" borderId="20" xfId="0" applyFont="1" applyFill="1" applyBorder="1" applyAlignment="1">
      <alignment horizontal="center" vertical="center" wrapText="1"/>
    </xf>
    <xf numFmtId="0" fontId="6" fillId="3" borderId="16" xfId="0" applyFont="1" applyFill="1" applyBorder="1" applyAlignment="1">
      <alignment horizontal="center"/>
    </xf>
    <xf numFmtId="0" fontId="6" fillId="3" borderId="18" xfId="0" applyFont="1" applyFill="1" applyBorder="1" applyAlignment="1">
      <alignment horizontal="center"/>
    </xf>
    <xf numFmtId="0" fontId="6" fillId="0" borderId="0" xfId="0" applyFont="1" applyAlignment="1">
      <alignment horizontal="center"/>
    </xf>
    <xf numFmtId="0" fontId="34" fillId="0" borderId="0" xfId="0" applyFont="1" applyBorder="1" applyAlignment="1">
      <alignment horizontal="left" wrapText="1"/>
    </xf>
    <xf numFmtId="0" fontId="6" fillId="0" borderId="0" xfId="0" applyFont="1" applyBorder="1" applyAlignment="1">
      <alignment horizontal="left" wrapText="1"/>
    </xf>
    <xf numFmtId="0" fontId="6" fillId="0" borderId="3" xfId="0" applyFont="1" applyBorder="1" applyAlignment="1">
      <alignment horizontal="left" wrapText="1"/>
    </xf>
    <xf numFmtId="0" fontId="6" fillId="3" borderId="22" xfId="0" applyFont="1" applyFill="1" applyBorder="1" applyAlignment="1">
      <alignment horizontal="center"/>
    </xf>
    <xf numFmtId="0" fontId="34" fillId="3" borderId="2" xfId="0" applyFont="1" applyFill="1" applyBorder="1" applyAlignment="1">
      <alignment horizontal="center" vertical="center" wrapText="1"/>
    </xf>
    <xf numFmtId="0" fontId="34" fillId="3" borderId="16" xfId="0" applyFont="1" applyFill="1" applyBorder="1" applyAlignment="1">
      <alignment horizontal="center" vertical="center" wrapText="1"/>
    </xf>
    <xf numFmtId="0" fontId="6" fillId="3" borderId="23" xfId="0" applyFont="1" applyFill="1" applyBorder="1" applyAlignment="1">
      <alignment horizontal="center"/>
    </xf>
    <xf numFmtId="0" fontId="34" fillId="3" borderId="1" xfId="0" applyFont="1" applyFill="1" applyBorder="1" applyAlignment="1">
      <alignment horizontal="center" vertical="center" wrapText="1"/>
    </xf>
    <xf numFmtId="0" fontId="34" fillId="3" borderId="15" xfId="0" applyFont="1" applyFill="1" applyBorder="1" applyAlignment="1">
      <alignment horizontal="center" vertical="center" wrapText="1"/>
    </xf>
    <xf numFmtId="0" fontId="6" fillId="0" borderId="16" xfId="0" applyFont="1" applyFill="1" applyBorder="1" applyAlignment="1">
      <alignment horizontal="center"/>
    </xf>
    <xf numFmtId="0" fontId="6" fillId="0" borderId="18" xfId="0" applyFont="1" applyFill="1" applyBorder="1" applyAlignment="1">
      <alignment horizontal="center"/>
    </xf>
    <xf numFmtId="0" fontId="6" fillId="0" borderId="4" xfId="0" applyFont="1" applyFill="1" applyBorder="1" applyAlignment="1">
      <alignment horizontal="center" vertical="center"/>
    </xf>
    <xf numFmtId="0" fontId="6" fillId="0" borderId="22" xfId="0" applyFont="1" applyFill="1" applyBorder="1" applyAlignment="1">
      <alignment horizontal="center"/>
    </xf>
    <xf numFmtId="0" fontId="6" fillId="0" borderId="23" xfId="0" applyFont="1" applyFill="1" applyBorder="1" applyAlignment="1">
      <alignment horizontal="center"/>
    </xf>
    <xf numFmtId="0" fontId="34" fillId="3" borderId="0" xfId="0" applyFont="1" applyFill="1" applyBorder="1" applyAlignment="1">
      <alignment horizontal="center" vertical="center" wrapText="1"/>
    </xf>
    <xf numFmtId="0" fontId="34" fillId="3" borderId="22" xfId="0" applyFont="1" applyFill="1" applyBorder="1" applyAlignment="1">
      <alignment horizontal="center" vertical="center" wrapText="1"/>
    </xf>
    <xf numFmtId="0" fontId="18" fillId="3" borderId="9"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0" xfId="0" applyFont="1" applyFill="1" applyBorder="1" applyAlignment="1">
      <alignment horizontal="left" vertical="center" wrapText="1"/>
    </xf>
    <xf numFmtId="0" fontId="34"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34" fillId="0" borderId="19" xfId="0" applyFont="1" applyBorder="1" applyAlignment="1">
      <alignment horizontal="left" wrapText="1"/>
    </xf>
    <xf numFmtId="0" fontId="6" fillId="0" borderId="2" xfId="0" applyFont="1" applyBorder="1" applyAlignment="1">
      <alignment horizontal="left" wrapText="1"/>
    </xf>
    <xf numFmtId="0" fontId="6" fillId="0" borderId="16" xfId="0" applyFont="1" applyBorder="1" applyAlignment="1">
      <alignment horizontal="left" wrapText="1"/>
    </xf>
    <xf numFmtId="0" fontId="6" fillId="0" borderId="24" xfId="0" applyFont="1" applyBorder="1" applyAlignment="1">
      <alignment horizontal="left" wrapText="1"/>
    </xf>
    <xf numFmtId="0" fontId="6" fillId="0" borderId="22" xfId="0" applyFont="1" applyBorder="1" applyAlignment="1">
      <alignment horizontal="left" wrapText="1"/>
    </xf>
    <xf numFmtId="0" fontId="6" fillId="0" borderId="21" xfId="0" applyFont="1" applyBorder="1" applyAlignment="1">
      <alignment horizontal="left" wrapText="1"/>
    </xf>
    <xf numFmtId="0" fontId="6" fillId="0" borderId="1" xfId="0" applyFont="1" applyBorder="1" applyAlignment="1">
      <alignment horizontal="left" wrapText="1"/>
    </xf>
    <xf numFmtId="0" fontId="6" fillId="0" borderId="15" xfId="0" applyFont="1" applyBorder="1" applyAlignment="1">
      <alignment horizontal="left" wrapText="1"/>
    </xf>
    <xf numFmtId="0" fontId="34" fillId="0" borderId="0" xfId="0" applyFont="1" applyAlignment="1">
      <alignment horizontal="left" wrapText="1"/>
    </xf>
    <xf numFmtId="0" fontId="6" fillId="0" borderId="0" xfId="0" applyFont="1" applyAlignment="1">
      <alignment horizontal="left" wrapText="1"/>
    </xf>
    <xf numFmtId="0" fontId="34" fillId="3" borderId="0" xfId="0" applyFont="1" applyFill="1" applyAlignment="1">
      <alignment wrapText="1"/>
    </xf>
    <xf numFmtId="0" fontId="6" fillId="3" borderId="0" xfId="0" applyFont="1" applyFill="1" applyAlignment="1">
      <alignment wrapText="1"/>
    </xf>
    <xf numFmtId="0" fontId="2" fillId="2" borderId="1" xfId="0" applyFont="1" applyFill="1" applyBorder="1" applyAlignment="1">
      <alignment horizontal="center" vertical="center"/>
    </xf>
    <xf numFmtId="0" fontId="6" fillId="0" borderId="0" xfId="0" applyFont="1" applyBorder="1" applyAlignment="1">
      <alignment horizontal="left" vertical="center" wrapText="1"/>
    </xf>
    <xf numFmtId="0" fontId="6" fillId="0" borderId="3" xfId="0" applyFont="1" applyBorder="1" applyAlignment="1">
      <alignment horizontal="left" vertical="center" wrapText="1"/>
    </xf>
    <xf numFmtId="0" fontId="18" fillId="3" borderId="9" xfId="0" applyFont="1" applyFill="1" applyBorder="1" applyAlignment="1">
      <alignment horizontal="left" wrapText="1"/>
    </xf>
    <xf numFmtId="0" fontId="6" fillId="3" borderId="9" xfId="0" applyFont="1" applyFill="1" applyBorder="1" applyAlignment="1">
      <alignment horizontal="left" wrapText="1"/>
    </xf>
    <xf numFmtId="0" fontId="6" fillId="3" borderId="0" xfId="0" applyFont="1" applyFill="1" applyBorder="1" applyAlignment="1">
      <alignment horizontal="left" wrapText="1"/>
    </xf>
    <xf numFmtId="0" fontId="18" fillId="3" borderId="2"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34" fillId="3" borderId="0" xfId="0" applyFont="1" applyFill="1" applyAlignment="1">
      <alignment horizontal="center" vertical="center" wrapText="1"/>
    </xf>
    <xf numFmtId="0" fontId="34" fillId="0" borderId="22" xfId="0" applyFont="1" applyFill="1" applyBorder="1" applyAlignment="1">
      <alignment horizontal="center"/>
    </xf>
    <xf numFmtId="0" fontId="6" fillId="0" borderId="15" xfId="0" applyFont="1" applyFill="1" applyBorder="1" applyAlignment="1">
      <alignment horizontal="center"/>
    </xf>
    <xf numFmtId="0" fontId="6" fillId="0" borderId="20" xfId="0" applyFont="1" applyFill="1" applyBorder="1" applyAlignment="1">
      <alignment horizontal="center"/>
    </xf>
    <xf numFmtId="0" fontId="18" fillId="0" borderId="4" xfId="0" applyFont="1" applyFill="1" applyBorder="1" applyAlignment="1">
      <alignment horizontal="center" vertical="center"/>
    </xf>
    <xf numFmtId="0" fontId="18" fillId="0" borderId="4" xfId="0" applyFont="1" applyBorder="1" applyAlignment="1">
      <alignment horizontal="center"/>
    </xf>
    <xf numFmtId="0" fontId="6" fillId="0" borderId="19" xfId="0" applyFont="1" applyBorder="1" applyAlignment="1">
      <alignment horizontal="left" wrapText="1"/>
    </xf>
    <xf numFmtId="0" fontId="6" fillId="0" borderId="0" xfId="0" applyFont="1" applyAlignment="1">
      <alignment horizontal="right"/>
    </xf>
    <xf numFmtId="0" fontId="6" fillId="0" borderId="19" xfId="0" applyFont="1" applyBorder="1" applyAlignment="1">
      <alignment horizontal="left" vertical="center" wrapText="1"/>
    </xf>
    <xf numFmtId="0" fontId="6" fillId="0" borderId="2" xfId="0" applyFont="1" applyBorder="1" applyAlignment="1">
      <alignment horizontal="left" vertical="center" wrapText="1"/>
    </xf>
    <xf numFmtId="0" fontId="6" fillId="0" borderId="16" xfId="0" applyFont="1" applyBorder="1" applyAlignment="1">
      <alignment horizontal="left" vertical="center" wrapText="1"/>
    </xf>
    <xf numFmtId="0" fontId="6" fillId="0" borderId="24" xfId="0" applyFont="1" applyBorder="1" applyAlignment="1">
      <alignment horizontal="left" vertical="center" wrapText="1"/>
    </xf>
    <xf numFmtId="0" fontId="6" fillId="0" borderId="22" xfId="0" applyFont="1" applyBorder="1" applyAlignment="1">
      <alignment horizontal="left" vertical="center" wrapText="1"/>
    </xf>
    <xf numFmtId="0" fontId="6" fillId="0" borderId="21" xfId="0" applyFont="1" applyBorder="1" applyAlignment="1">
      <alignment horizontal="left" vertical="center" wrapText="1"/>
    </xf>
    <xf numFmtId="0" fontId="6" fillId="0" borderId="1" xfId="0" applyFont="1" applyBorder="1" applyAlignment="1">
      <alignment horizontal="left" vertical="center" wrapText="1"/>
    </xf>
    <xf numFmtId="0" fontId="6" fillId="0" borderId="15" xfId="0" applyFont="1" applyBorder="1" applyAlignment="1">
      <alignment horizontal="left" vertical="center" wrapText="1"/>
    </xf>
    <xf numFmtId="0" fontId="18" fillId="0" borderId="4" xfId="0" applyFont="1" applyBorder="1" applyAlignment="1">
      <alignment horizontal="center" vertical="center"/>
    </xf>
    <xf numFmtId="0" fontId="6" fillId="0" borderId="7" xfId="0" applyFont="1" applyBorder="1" applyAlignment="1">
      <alignment horizontal="center"/>
    </xf>
    <xf numFmtId="0" fontId="6" fillId="0" borderId="3" xfId="0" applyFont="1" applyBorder="1" applyAlignment="1">
      <alignment horizontal="center"/>
    </xf>
    <xf numFmtId="0" fontId="18" fillId="0" borderId="5" xfId="0" applyFont="1" applyBorder="1" applyAlignment="1">
      <alignment horizontal="center"/>
    </xf>
    <xf numFmtId="0" fontId="18" fillId="0" borderId="9" xfId="0" applyFont="1" applyBorder="1" applyAlignment="1">
      <alignment horizontal="center"/>
    </xf>
    <xf numFmtId="0" fontId="18" fillId="0" borderId="17" xfId="0" applyFont="1" applyBorder="1" applyAlignment="1">
      <alignment horizontal="center"/>
    </xf>
    <xf numFmtId="0" fontId="10" fillId="0" borderId="14" xfId="0" applyFont="1" applyBorder="1" applyAlignment="1">
      <alignment horizontal="center" vertical="center"/>
    </xf>
    <xf numFmtId="10" fontId="11" fillId="3" borderId="0" xfId="0" applyNumberFormat="1" applyFont="1" applyFill="1" applyAlignment="1">
      <alignment horizontal="center" vertical="center"/>
    </xf>
    <xf numFmtId="0" fontId="10" fillId="3" borderId="1" xfId="0" applyFont="1" applyFill="1" applyBorder="1" applyAlignment="1">
      <alignment horizontal="center" vertical="center"/>
    </xf>
    <xf numFmtId="0" fontId="11" fillId="3" borderId="24" xfId="0" applyFont="1" applyFill="1" applyBorder="1" applyAlignment="1">
      <alignment horizontal="center" vertical="center"/>
    </xf>
    <xf numFmtId="0" fontId="11" fillId="3" borderId="0" xfId="0" applyFont="1" applyFill="1" applyBorder="1" applyAlignment="1">
      <alignment horizontal="center" vertical="center"/>
    </xf>
    <xf numFmtId="0" fontId="31" fillId="3" borderId="24" xfId="0" applyFont="1" applyFill="1" applyBorder="1" applyAlignment="1">
      <alignment horizontal="center" vertical="center"/>
    </xf>
    <xf numFmtId="0" fontId="10" fillId="3" borderId="24"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21" xfId="0" applyFont="1" applyFill="1" applyBorder="1" applyAlignment="1">
      <alignment horizontal="center" vertical="center"/>
    </xf>
    <xf numFmtId="0" fontId="31" fillId="3" borderId="0" xfId="0" applyFont="1" applyFill="1" applyBorder="1" applyAlignment="1">
      <alignment horizontal="center" vertical="center"/>
    </xf>
    <xf numFmtId="0" fontId="10" fillId="0" borderId="1" xfId="0" applyFont="1" applyBorder="1" applyAlignment="1">
      <alignment horizontal="center"/>
    </xf>
    <xf numFmtId="0" fontId="6" fillId="3" borderId="0" xfId="0" applyFont="1" applyFill="1" applyAlignment="1">
      <alignment horizontal="left" wrapText="1"/>
    </xf>
    <xf numFmtId="0" fontId="34" fillId="3" borderId="19" xfId="0" applyFont="1" applyFill="1" applyBorder="1" applyAlignment="1">
      <alignment horizontal="center" vertical="center" wrapText="1"/>
    </xf>
    <xf numFmtId="0" fontId="34" fillId="3" borderId="21" xfId="0" applyFont="1" applyFill="1" applyBorder="1" applyAlignment="1">
      <alignment horizontal="center" vertical="center" wrapText="1"/>
    </xf>
    <xf numFmtId="0" fontId="34" fillId="3" borderId="0" xfId="0" applyFont="1" applyFill="1" applyAlignment="1">
      <alignment horizontal="left" wrapText="1"/>
    </xf>
    <xf numFmtId="0" fontId="34" fillId="0" borderId="22" xfId="0" applyFont="1" applyBorder="1" applyAlignment="1">
      <alignment vertical="center"/>
    </xf>
    <xf numFmtId="0" fontId="34" fillId="0" borderId="24" xfId="0" applyFont="1" applyBorder="1" applyAlignment="1">
      <alignment horizontal="center" vertical="center"/>
    </xf>
    <xf numFmtId="0" fontId="34" fillId="0" borderId="0" xfId="0" applyFont="1" applyBorder="1" applyAlignment="1">
      <alignment horizontal="center" vertical="center"/>
    </xf>
    <xf numFmtId="0" fontId="34" fillId="0" borderId="22" xfId="0" applyFont="1" applyBorder="1" applyAlignment="1">
      <alignment horizontal="center" vertical="center"/>
    </xf>
    <xf numFmtId="0" fontId="34" fillId="0" borderId="0" xfId="0" applyFont="1" applyFill="1" applyAlignment="1">
      <alignment horizontal="left" vertical="center" wrapText="1"/>
    </xf>
    <xf numFmtId="0" fontId="6" fillId="0" borderId="0" xfId="0" applyFont="1" applyFill="1" applyAlignment="1">
      <alignment horizontal="left" vertical="center" wrapText="1"/>
    </xf>
    <xf numFmtId="0" fontId="34" fillId="3" borderId="16" xfId="0" applyFont="1" applyFill="1" applyBorder="1" applyAlignment="1">
      <alignment horizontal="justify" vertical="center" wrapText="1"/>
    </xf>
    <xf numFmtId="0" fontId="34" fillId="3" borderId="22" xfId="0" applyFont="1" applyFill="1" applyBorder="1" applyAlignment="1">
      <alignment horizontal="justify" vertical="center" wrapText="1"/>
    </xf>
    <xf numFmtId="0" fontId="34" fillId="3" borderId="24" xfId="0" applyFont="1" applyFill="1" applyBorder="1" applyAlignment="1">
      <alignment horizontal="center" vertical="center" wrapText="1"/>
    </xf>
    <xf numFmtId="3" fontId="11" fillId="0" borderId="0" xfId="0" applyNumberFormat="1" applyFont="1" applyAlignment="1">
      <alignment horizontal="left"/>
    </xf>
    <xf numFmtId="0" fontId="23" fillId="0" borderId="0" xfId="0" applyFont="1" applyBorder="1" applyAlignment="1">
      <alignment vertical="center"/>
    </xf>
    <xf numFmtId="0" fontId="23" fillId="0" borderId="0" xfId="0" applyFont="1" applyBorder="1" applyAlignment="1">
      <alignment horizontal="center" vertical="center"/>
    </xf>
    <xf numFmtId="0" fontId="33" fillId="0" borderId="14" xfId="0" applyFont="1" applyBorder="1" applyAlignment="1">
      <alignment horizontal="center" vertical="center"/>
    </xf>
    <xf numFmtId="0" fontId="11" fillId="0" borderId="5" xfId="0" applyFont="1" applyBorder="1" applyAlignment="1">
      <alignment horizontal="center"/>
    </xf>
    <xf numFmtId="0" fontId="11" fillId="0" borderId="9" xfId="0" applyFont="1" applyBorder="1" applyAlignment="1">
      <alignment horizontal="center"/>
    </xf>
    <xf numFmtId="0" fontId="11" fillId="0" borderId="17" xfId="0" applyFont="1" applyBorder="1" applyAlignment="1">
      <alignment horizontal="center"/>
    </xf>
    <xf numFmtId="0" fontId="11" fillId="0" borderId="28" xfId="0" applyFont="1" applyBorder="1" applyAlignment="1">
      <alignment horizontal="center"/>
    </xf>
    <xf numFmtId="0" fontId="11" fillId="0" borderId="0" xfId="0" applyFont="1" applyBorder="1" applyAlignment="1">
      <alignment horizontal="center"/>
    </xf>
    <xf numFmtId="0" fontId="11" fillId="0" borderId="29" xfId="0" applyFont="1" applyBorder="1" applyAlignment="1">
      <alignment horizontal="center"/>
    </xf>
    <xf numFmtId="0" fontId="18" fillId="0" borderId="1" xfId="0" applyFont="1" applyBorder="1" applyAlignment="1">
      <alignment horizontal="center"/>
    </xf>
    <xf numFmtId="0" fontId="6" fillId="3" borderId="0" xfId="0" applyFont="1" applyFill="1" applyAlignment="1">
      <alignment horizontal="left" vertical="center" wrapText="1"/>
    </xf>
    <xf numFmtId="0" fontId="6" fillId="0" borderId="0" xfId="0" applyFont="1" applyAlignment="1">
      <alignment horizontal="left" vertical="center" wrapText="1"/>
    </xf>
    <xf numFmtId="0" fontId="34" fillId="10" borderId="25" xfId="0" applyFont="1" applyFill="1" applyBorder="1" applyAlignment="1">
      <alignment horizontal="center" vertical="center"/>
    </xf>
    <xf numFmtId="0" fontId="34" fillId="10" borderId="13" xfId="0" applyFont="1" applyFill="1" applyBorder="1" applyAlignment="1">
      <alignment horizontal="center" vertical="center"/>
    </xf>
    <xf numFmtId="0" fontId="34" fillId="10" borderId="14" xfId="0" applyFont="1" applyFill="1" applyBorder="1" applyAlignment="1">
      <alignment horizontal="center" vertical="center"/>
    </xf>
    <xf numFmtId="0" fontId="34" fillId="10" borderId="16" xfId="0" applyFont="1" applyFill="1" applyBorder="1" applyAlignment="1">
      <alignment vertical="center"/>
    </xf>
    <xf numFmtId="0" fontId="34" fillId="10" borderId="15" xfId="0" applyFont="1" applyFill="1" applyBorder="1" applyAlignment="1">
      <alignment vertical="center"/>
    </xf>
    <xf numFmtId="0" fontId="34" fillId="10" borderId="25" xfId="0" applyFont="1" applyFill="1" applyBorder="1" applyAlignment="1">
      <alignment horizontal="center" vertical="center" wrapText="1"/>
    </xf>
    <xf numFmtId="0" fontId="34" fillId="10" borderId="14" xfId="0" applyFont="1" applyFill="1" applyBorder="1" applyAlignment="1">
      <alignment horizontal="center" vertical="center" wrapText="1"/>
    </xf>
    <xf numFmtId="0" fontId="38" fillId="8" borderId="0" xfId="0" applyFont="1" applyFill="1" applyBorder="1" applyAlignment="1">
      <alignment horizontal="left" vertical="top" wrapText="1"/>
    </xf>
    <xf numFmtId="0" fontId="26" fillId="8" borderId="0" xfId="0" applyFont="1" applyFill="1" applyBorder="1" applyAlignment="1">
      <alignment horizontal="left" vertical="top" wrapText="1"/>
    </xf>
    <xf numFmtId="0" fontId="34" fillId="6" borderId="0" xfId="0" applyFont="1" applyFill="1" applyAlignment="1">
      <alignment horizontal="left" vertical="top" wrapText="1"/>
    </xf>
    <xf numFmtId="0" fontId="6" fillId="6" borderId="0" xfId="0" applyFont="1" applyFill="1" applyAlignment="1">
      <alignment horizontal="left" vertical="top" wrapText="1"/>
    </xf>
    <xf numFmtId="0" fontId="34" fillId="6" borderId="25" xfId="0" applyFont="1" applyFill="1" applyBorder="1" applyAlignment="1">
      <alignment horizontal="center" vertical="center"/>
    </xf>
    <xf numFmtId="0" fontId="34" fillId="6" borderId="14" xfId="0" applyFont="1" applyFill="1" applyBorder="1" applyAlignment="1">
      <alignment horizontal="center" vertical="center"/>
    </xf>
    <xf numFmtId="0" fontId="34" fillId="6"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4" fillId="3" borderId="14" xfId="0" applyFont="1" applyFill="1" applyBorder="1" applyAlignment="1">
      <alignment horizontal="center" vertical="center" wrapText="1"/>
    </xf>
    <xf numFmtId="0" fontId="34" fillId="6" borderId="14"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34" fillId="6" borderId="13" xfId="0" applyFont="1" applyFill="1" applyBorder="1" applyAlignment="1">
      <alignment horizontal="center" vertical="center"/>
    </xf>
    <xf numFmtId="0" fontId="34" fillId="6" borderId="1" xfId="0" applyFont="1" applyFill="1" applyBorder="1" applyAlignment="1">
      <alignment horizontal="left" vertical="center" wrapText="1"/>
    </xf>
    <xf numFmtId="0" fontId="34" fillId="3" borderId="25" xfId="0" applyFont="1" applyFill="1" applyBorder="1" applyAlignment="1">
      <alignment horizontal="center" vertical="center"/>
    </xf>
    <xf numFmtId="0" fontId="34" fillId="3" borderId="13" xfId="0" applyFont="1" applyFill="1" applyBorder="1" applyAlignment="1">
      <alignment horizontal="center" vertical="center"/>
    </xf>
    <xf numFmtId="0" fontId="34" fillId="3" borderId="14" xfId="0" applyFont="1" applyFill="1" applyBorder="1" applyAlignment="1">
      <alignment horizontal="center" vertical="center"/>
    </xf>
    <xf numFmtId="0" fontId="34" fillId="12" borderId="0" xfId="0" applyFont="1" applyFill="1" applyAlignment="1">
      <alignment horizontal="left"/>
    </xf>
    <xf numFmtId="0" fontId="6" fillId="12" borderId="0" xfId="0" applyFont="1" applyFill="1" applyAlignment="1">
      <alignment horizontal="left"/>
    </xf>
    <xf numFmtId="0" fontId="34" fillId="0" borderId="5" xfId="0" applyFont="1" applyBorder="1" applyAlignment="1">
      <alignment horizontal="left" vertical="center" wrapText="1"/>
    </xf>
    <xf numFmtId="0" fontId="6" fillId="0" borderId="9" xfId="0" applyFont="1" applyBorder="1" applyAlignment="1">
      <alignment horizontal="left" vertical="center" wrapText="1"/>
    </xf>
    <xf numFmtId="0" fontId="6" fillId="0" borderId="17"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34" fillId="0" borderId="5"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8" xfId="0" applyFont="1" applyFill="1" applyBorder="1" applyAlignment="1">
      <alignment horizontal="left" vertical="center" wrapText="1"/>
    </xf>
    <xf numFmtId="180" fontId="34" fillId="0" borderId="9" xfId="0" applyNumberFormat="1" applyFont="1" applyBorder="1" applyAlignment="1">
      <alignment horizontal="left" vertical="center" wrapText="1"/>
    </xf>
    <xf numFmtId="180" fontId="6" fillId="0" borderId="9" xfId="0" applyNumberFormat="1" applyFont="1" applyBorder="1" applyAlignment="1">
      <alignment horizontal="left" vertical="center" wrapText="1"/>
    </xf>
    <xf numFmtId="180" fontId="6" fillId="0" borderId="0" xfId="0" applyNumberFormat="1" applyFont="1" applyBorder="1" applyAlignment="1">
      <alignment horizontal="left" vertical="center" wrapText="1"/>
    </xf>
    <xf numFmtId="0" fontId="34" fillId="0" borderId="0" xfId="0" applyFont="1" applyAlignment="1">
      <alignment horizontal="left" vertical="top" wrapText="1"/>
    </xf>
    <xf numFmtId="0" fontId="6" fillId="0" borderId="0" xfId="0" applyFont="1" applyAlignment="1">
      <alignment horizontal="left" vertical="top" wrapText="1"/>
    </xf>
    <xf numFmtId="0" fontId="34" fillId="0" borderId="0" xfId="0" applyFont="1" applyBorder="1" applyAlignment="1">
      <alignment horizontal="left" vertical="top" wrapText="1"/>
    </xf>
    <xf numFmtId="0" fontId="6" fillId="0" borderId="0" xfId="0" applyFont="1" applyBorder="1" applyAlignment="1">
      <alignment horizontal="left" vertical="top" wrapText="1"/>
    </xf>
    <xf numFmtId="0" fontId="6" fillId="0" borderId="3" xfId="0" applyFont="1" applyBorder="1" applyAlignment="1">
      <alignment horizontal="left" vertical="top" wrapText="1"/>
    </xf>
    <xf numFmtId="0" fontId="34" fillId="3" borderId="9" xfId="0" applyFont="1" applyFill="1" applyBorder="1" applyAlignment="1">
      <alignment horizontal="left" vertical="center" wrapText="1"/>
    </xf>
    <xf numFmtId="0" fontId="34" fillId="3" borderId="23" xfId="0" applyFont="1" applyFill="1" applyBorder="1" applyAlignment="1">
      <alignment horizontal="left" vertical="center"/>
    </xf>
    <xf numFmtId="0" fontId="34" fillId="3" borderId="22" xfId="0" applyFont="1" applyFill="1" applyBorder="1" applyAlignment="1">
      <alignment horizontal="left" vertical="center"/>
    </xf>
    <xf numFmtId="0" fontId="34" fillId="3" borderId="18" xfId="0" applyFont="1" applyFill="1" applyBorder="1" applyAlignment="1">
      <alignment horizontal="left" vertical="center"/>
    </xf>
    <xf numFmtId="0" fontId="34" fillId="3" borderId="16" xfId="0" applyFont="1" applyFill="1" applyBorder="1" applyAlignment="1">
      <alignment horizontal="left" vertical="center"/>
    </xf>
    <xf numFmtId="0" fontId="34" fillId="3" borderId="20" xfId="0" applyFont="1" applyFill="1" applyBorder="1" applyAlignment="1">
      <alignment horizontal="left" vertical="center"/>
    </xf>
    <xf numFmtId="0" fontId="34" fillId="3" borderId="15" xfId="0" applyFont="1" applyFill="1" applyBorder="1" applyAlignment="1">
      <alignment horizontal="left" vertical="center"/>
    </xf>
    <xf numFmtId="0" fontId="6" fillId="12" borderId="48" xfId="0" applyFont="1" applyFill="1" applyBorder="1" applyAlignment="1">
      <alignment horizontal="center"/>
    </xf>
    <xf numFmtId="0" fontId="6" fillId="12" borderId="49" xfId="0" applyFont="1" applyFill="1" applyBorder="1" applyAlignment="1">
      <alignment horizontal="center"/>
    </xf>
    <xf numFmtId="0" fontId="6" fillId="12" borderId="46" xfId="0" applyFont="1" applyFill="1" applyBorder="1" applyAlignment="1">
      <alignment horizontal="center" wrapText="1"/>
    </xf>
    <xf numFmtId="0" fontId="6" fillId="12" borderId="11" xfId="0" applyFont="1" applyFill="1" applyBorder="1" applyAlignment="1">
      <alignment horizontal="center" wrapText="1"/>
    </xf>
    <xf numFmtId="0" fontId="6" fillId="12" borderId="47" xfId="0" applyFont="1" applyFill="1" applyBorder="1" applyAlignment="1">
      <alignment horizontal="center" wrapText="1"/>
    </xf>
    <xf numFmtId="0" fontId="6" fillId="12" borderId="11" xfId="0" applyFont="1" applyFill="1" applyBorder="1" applyAlignment="1">
      <alignment horizontal="center"/>
    </xf>
    <xf numFmtId="0" fontId="6" fillId="12" borderId="7" xfId="0" applyFont="1" applyFill="1" applyBorder="1" applyAlignment="1">
      <alignment horizontal="center"/>
    </xf>
    <xf numFmtId="0" fontId="34" fillId="12" borderId="51" xfId="0" applyFont="1" applyFill="1" applyBorder="1" applyAlignment="1">
      <alignment horizontal="center"/>
    </xf>
    <xf numFmtId="0" fontId="6" fillId="12" borderId="52" xfId="0" applyFont="1" applyFill="1" applyBorder="1" applyAlignment="1">
      <alignment horizontal="center"/>
    </xf>
    <xf numFmtId="0" fontId="6" fillId="12" borderId="53" xfId="0" applyFont="1" applyFill="1" applyBorder="1" applyAlignment="1">
      <alignment horizontal="center"/>
    </xf>
    <xf numFmtId="0" fontId="18" fillId="3" borderId="25" xfId="0" applyFont="1" applyFill="1" applyBorder="1" applyAlignment="1">
      <alignment horizontal="center" vertical="center"/>
    </xf>
    <xf numFmtId="0" fontId="18" fillId="3" borderId="13" xfId="0" applyFont="1" applyFill="1" applyBorder="1" applyAlignment="1">
      <alignment horizontal="center" vertical="center"/>
    </xf>
    <xf numFmtId="0" fontId="34" fillId="3" borderId="19" xfId="0" applyFont="1" applyFill="1" applyBorder="1" applyAlignment="1">
      <alignment horizontal="left" vertical="center"/>
    </xf>
    <xf numFmtId="0" fontId="34" fillId="3" borderId="2" xfId="0" applyFont="1" applyFill="1" applyBorder="1" applyAlignment="1">
      <alignment horizontal="left" vertical="center"/>
    </xf>
    <xf numFmtId="0" fontId="34" fillId="3" borderId="24" xfId="0" applyFont="1" applyFill="1" applyBorder="1" applyAlignment="1">
      <alignment horizontal="left" vertical="center"/>
    </xf>
    <xf numFmtId="0" fontId="34" fillId="3" borderId="0" xfId="0" applyFont="1" applyFill="1" applyBorder="1" applyAlignment="1">
      <alignment horizontal="left" vertical="center"/>
    </xf>
    <xf numFmtId="0" fontId="34" fillId="3" borderId="21" xfId="0" applyFont="1" applyFill="1" applyBorder="1" applyAlignment="1">
      <alignment horizontal="left" vertical="center"/>
    </xf>
    <xf numFmtId="0" fontId="34" fillId="3" borderId="1" xfId="0" applyFont="1" applyFill="1" applyBorder="1" applyAlignment="1">
      <alignment horizontal="left" vertical="center"/>
    </xf>
    <xf numFmtId="0" fontId="18" fillId="0" borderId="0" xfId="0" applyFont="1" applyAlignment="1">
      <alignment horizontal="center" wrapText="1"/>
    </xf>
    <xf numFmtId="0" fontId="6" fillId="12" borderId="19" xfId="0" applyFont="1" applyFill="1" applyBorder="1" applyAlignment="1">
      <alignment horizontal="center" vertical="center" wrapText="1"/>
    </xf>
    <xf numFmtId="0" fontId="6" fillId="12" borderId="2" xfId="0" applyFont="1" applyFill="1" applyBorder="1" applyAlignment="1">
      <alignment horizontal="center" vertical="center" wrapText="1"/>
    </xf>
    <xf numFmtId="0" fontId="6" fillId="12" borderId="16" xfId="0" applyFont="1" applyFill="1" applyBorder="1" applyAlignment="1">
      <alignment horizontal="center" vertical="center" wrapText="1"/>
    </xf>
    <xf numFmtId="0" fontId="6" fillId="12" borderId="2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6" fillId="12" borderId="15" xfId="0" applyFont="1" applyFill="1" applyBorder="1" applyAlignment="1">
      <alignment horizontal="center" vertical="center" wrapText="1"/>
    </xf>
    <xf numFmtId="0" fontId="6" fillId="0" borderId="5" xfId="0" applyFont="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18" fillId="3" borderId="4" xfId="0" applyFont="1" applyFill="1" applyBorder="1" applyAlignment="1">
      <alignment horizontal="center" vertical="center"/>
    </xf>
    <xf numFmtId="3" fontId="34" fillId="3" borderId="5" xfId="0" applyNumberFormat="1" applyFont="1" applyFill="1" applyBorder="1" applyAlignment="1">
      <alignment horizontal="center"/>
    </xf>
    <xf numFmtId="3" fontId="34" fillId="3" borderId="17" xfId="0" applyNumberFormat="1" applyFont="1" applyFill="1" applyBorder="1" applyAlignment="1">
      <alignment horizontal="center"/>
    </xf>
    <xf numFmtId="165" fontId="18" fillId="0" borderId="12" xfId="0" applyNumberFormat="1" applyFont="1" applyBorder="1" applyAlignment="1">
      <alignment horizontal="center"/>
    </xf>
    <xf numFmtId="0" fontId="18" fillId="0" borderId="6" xfId="0" applyFont="1" applyBorder="1" applyAlignment="1">
      <alignment horizontal="center"/>
    </xf>
    <xf numFmtId="0" fontId="18" fillId="0" borderId="26" xfId="0" applyFont="1" applyBorder="1" applyAlignment="1">
      <alignment horizontal="center"/>
    </xf>
    <xf numFmtId="0" fontId="18" fillId="0" borderId="12" xfId="0" applyFont="1" applyBorder="1" applyAlignment="1">
      <alignment horizontal="center"/>
    </xf>
    <xf numFmtId="0" fontId="6" fillId="0" borderId="0" xfId="0" applyFont="1" applyAlignment="1">
      <alignment horizontal="left"/>
    </xf>
    <xf numFmtId="165" fontId="18" fillId="0" borderId="7" xfId="0" applyNumberFormat="1" applyFont="1" applyBorder="1" applyAlignment="1">
      <alignment horizontal="center"/>
    </xf>
    <xf numFmtId="165" fontId="18" fillId="0" borderId="8" xfId="0" applyNumberFormat="1" applyFont="1" applyBorder="1" applyAlignment="1">
      <alignment horizontal="center"/>
    </xf>
    <xf numFmtId="0" fontId="18" fillId="3" borderId="0" xfId="0" applyFont="1" applyFill="1" applyBorder="1" applyAlignment="1">
      <alignment wrapText="1"/>
    </xf>
    <xf numFmtId="0" fontId="6" fillId="3" borderId="0" xfId="0" applyFont="1" applyFill="1" applyBorder="1" applyAlignment="1">
      <alignment wrapText="1"/>
    </xf>
    <xf numFmtId="0" fontId="34" fillId="3" borderId="0" xfId="0" applyFont="1" applyFill="1" applyBorder="1" applyAlignment="1">
      <alignment horizontal="center" vertical="center"/>
    </xf>
    <xf numFmtId="0" fontId="18" fillId="0" borderId="0" xfId="0" applyFont="1" applyAlignment="1">
      <alignment horizontal="center"/>
    </xf>
    <xf numFmtId="0" fontId="6" fillId="3" borderId="2"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0" xfId="0" applyFont="1" applyAlignment="1">
      <alignment horizontal="left" vertical="center" wrapText="1"/>
    </xf>
    <xf numFmtId="0" fontId="6" fillId="0" borderId="26" xfId="0" applyFont="1" applyBorder="1" applyAlignment="1">
      <alignment horizontal="center"/>
    </xf>
    <xf numFmtId="0" fontId="6" fillId="0" borderId="12" xfId="0" applyFont="1" applyBorder="1" applyAlignment="1">
      <alignment horizontal="center"/>
    </xf>
    <xf numFmtId="0" fontId="34" fillId="0" borderId="28" xfId="0" applyFont="1" applyBorder="1" applyAlignment="1">
      <alignment horizontal="center"/>
    </xf>
    <xf numFmtId="0" fontId="34" fillId="0" borderId="0" xfId="0" applyFont="1" applyBorder="1" applyAlignment="1">
      <alignment horizontal="left" vertical="center" wrapText="1"/>
    </xf>
    <xf numFmtId="0" fontId="34" fillId="3" borderId="4" xfId="0" applyFont="1" applyFill="1" applyBorder="1" applyAlignment="1">
      <alignment horizontal="center" vertical="center"/>
    </xf>
    <xf numFmtId="0" fontId="6" fillId="3" borderId="25" xfId="0" applyFont="1" applyFill="1" applyBorder="1" applyAlignment="1">
      <alignment horizontal="left"/>
    </xf>
    <xf numFmtId="0" fontId="6" fillId="3" borderId="14" xfId="0" applyFont="1" applyFill="1" applyBorder="1" applyAlignment="1">
      <alignment horizontal="left"/>
    </xf>
    <xf numFmtId="0" fontId="6" fillId="3" borderId="13" xfId="0" applyFont="1" applyFill="1" applyBorder="1" applyAlignment="1">
      <alignment horizontal="left"/>
    </xf>
    <xf numFmtId="3" fontId="34" fillId="3" borderId="4" xfId="0" applyNumberFormat="1" applyFont="1" applyFill="1" applyBorder="1" applyAlignment="1">
      <alignment horizontal="center"/>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9" xfId="0" applyFont="1" applyBorder="1" applyAlignment="1">
      <alignment horizontal="center"/>
    </xf>
    <xf numFmtId="0" fontId="6" fillId="0" borderId="2" xfId="0" applyFont="1" applyBorder="1" applyAlignment="1">
      <alignment horizontal="center"/>
    </xf>
    <xf numFmtId="0" fontId="6" fillId="0" borderId="16" xfId="0" applyFont="1" applyBorder="1" applyAlignment="1">
      <alignment horizontal="center"/>
    </xf>
    <xf numFmtId="0" fontId="34" fillId="3" borderId="26" xfId="0" applyFont="1" applyFill="1" applyBorder="1" applyAlignment="1">
      <alignment horizontal="center" vertical="center"/>
    </xf>
    <xf numFmtId="0" fontId="34" fillId="3" borderId="6" xfId="0" applyFont="1" applyFill="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34" fillId="0" borderId="0" xfId="0" applyFont="1" applyFill="1" applyBorder="1" applyAlignment="1">
      <alignment horizontal="left" wrapText="1"/>
    </xf>
    <xf numFmtId="0" fontId="6" fillId="0" borderId="0" xfId="0" applyFont="1" applyFill="1" applyBorder="1" applyAlignment="1">
      <alignment horizontal="left" wrapText="1"/>
    </xf>
    <xf numFmtId="0" fontId="34" fillId="3" borderId="30" xfId="0" applyFont="1" applyFill="1" applyBorder="1" applyAlignment="1">
      <alignment horizontal="left" vertical="center"/>
    </xf>
    <xf numFmtId="0" fontId="34" fillId="3" borderId="13" xfId="0" applyFont="1" applyFill="1" applyBorder="1" applyAlignment="1">
      <alignment horizontal="left" vertical="center"/>
    </xf>
    <xf numFmtId="0" fontId="34" fillId="3" borderId="24" xfId="0" applyFont="1" applyFill="1" applyBorder="1" applyAlignment="1">
      <alignment horizontal="center" vertical="center"/>
    </xf>
    <xf numFmtId="0" fontId="34" fillId="3" borderId="22" xfId="0" applyFont="1" applyFill="1" applyBorder="1" applyAlignment="1">
      <alignment horizontal="center" vertical="center"/>
    </xf>
    <xf numFmtId="0" fontId="34" fillId="3" borderId="21" xfId="0" applyFont="1" applyFill="1" applyBorder="1" applyAlignment="1">
      <alignment horizontal="center" vertical="center"/>
    </xf>
    <xf numFmtId="0" fontId="18" fillId="3" borderId="24" xfId="0" applyFont="1" applyFill="1" applyBorder="1" applyAlignment="1">
      <alignment horizontal="center" vertical="center"/>
    </xf>
    <xf numFmtId="0" fontId="18" fillId="3" borderId="22" xfId="0" applyFont="1" applyFill="1" applyBorder="1" applyAlignment="1">
      <alignment horizontal="center" vertical="center"/>
    </xf>
    <xf numFmtId="0" fontId="18" fillId="3" borderId="19" xfId="0" applyFont="1" applyFill="1" applyBorder="1" applyAlignment="1">
      <alignment horizontal="center" vertical="center"/>
    </xf>
    <xf numFmtId="0" fontId="18" fillId="3" borderId="16" xfId="0" applyFont="1" applyFill="1" applyBorder="1" applyAlignment="1">
      <alignment horizontal="center" vertical="center"/>
    </xf>
    <xf numFmtId="0" fontId="34" fillId="3" borderId="19" xfId="0" applyFont="1" applyFill="1" applyBorder="1" applyAlignment="1">
      <alignment horizontal="center" vertical="center"/>
    </xf>
    <xf numFmtId="0" fontId="18" fillId="0" borderId="51" xfId="0" applyFont="1" applyBorder="1" applyAlignment="1">
      <alignment horizontal="left"/>
    </xf>
    <xf numFmtId="0" fontId="18" fillId="0" borderId="52" xfId="0" applyFont="1" applyBorder="1" applyAlignment="1">
      <alignment horizontal="left"/>
    </xf>
    <xf numFmtId="0" fontId="18" fillId="0" borderId="42" xfId="0" applyFont="1" applyBorder="1" applyAlignment="1">
      <alignment horizontal="left"/>
    </xf>
    <xf numFmtId="0" fontId="18" fillId="0" borderId="43" xfId="0" applyFont="1" applyBorder="1" applyAlignment="1">
      <alignment horizontal="left"/>
    </xf>
    <xf numFmtId="0" fontId="18" fillId="0" borderId="19"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15" xfId="0" applyFont="1" applyFill="1" applyBorder="1" applyAlignment="1">
      <alignment horizontal="center" vertical="center"/>
    </xf>
    <xf numFmtId="0" fontId="18" fillId="3" borderId="19" xfId="0" applyFont="1" applyFill="1" applyBorder="1" applyAlignment="1">
      <alignment horizontal="left" vertical="center"/>
    </xf>
    <xf numFmtId="0" fontId="18" fillId="3" borderId="16" xfId="0" applyFont="1" applyFill="1" applyBorder="1" applyAlignment="1">
      <alignment horizontal="left" vertical="center"/>
    </xf>
    <xf numFmtId="0" fontId="18" fillId="3" borderId="21" xfId="0" applyFont="1" applyFill="1" applyBorder="1" applyAlignment="1">
      <alignment horizontal="left" vertical="center"/>
    </xf>
    <xf numFmtId="0" fontId="18" fillId="3" borderId="15" xfId="0" applyFont="1" applyFill="1" applyBorder="1" applyAlignment="1">
      <alignment horizontal="left" vertical="center"/>
    </xf>
    <xf numFmtId="0" fontId="34" fillId="0" borderId="24" xfId="0" applyFont="1" applyFill="1" applyBorder="1" applyAlignment="1">
      <alignment horizontal="left" vertical="center"/>
    </xf>
    <xf numFmtId="0" fontId="34" fillId="0" borderId="22" xfId="0" applyFont="1" applyFill="1" applyBorder="1" applyAlignment="1">
      <alignment horizontal="left" vertical="center"/>
    </xf>
    <xf numFmtId="0" fontId="34" fillId="0" borderId="24" xfId="0" applyFont="1" applyFill="1" applyBorder="1" applyAlignment="1">
      <alignment horizontal="center" vertical="center"/>
    </xf>
    <xf numFmtId="0" fontId="34" fillId="0" borderId="22"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24" xfId="0" applyFont="1" applyFill="1" applyBorder="1" applyAlignment="1">
      <alignment horizontal="left" vertical="center"/>
    </xf>
    <xf numFmtId="0" fontId="18" fillId="3" borderId="22" xfId="0" applyFont="1" applyFill="1" applyBorder="1" applyAlignment="1">
      <alignment horizontal="left" vertical="center"/>
    </xf>
    <xf numFmtId="0" fontId="18" fillId="3" borderId="21" xfId="0" applyFont="1" applyFill="1" applyBorder="1" applyAlignment="1">
      <alignment horizontal="center" vertical="center"/>
    </xf>
    <xf numFmtId="0" fontId="18" fillId="3" borderId="15" xfId="0" applyFont="1" applyFill="1" applyBorder="1" applyAlignment="1">
      <alignment horizontal="center" vertical="center"/>
    </xf>
    <xf numFmtId="0" fontId="18" fillId="3" borderId="1" xfId="0" applyFont="1" applyFill="1" applyBorder="1" applyAlignment="1">
      <alignment horizontal="center" vertical="center"/>
    </xf>
    <xf numFmtId="0" fontId="34" fillId="0" borderId="21" xfId="0" applyFont="1" applyFill="1" applyBorder="1" applyAlignment="1">
      <alignment horizontal="left" vertical="center"/>
    </xf>
    <xf numFmtId="0" fontId="34" fillId="0" borderId="15" xfId="0" applyFont="1" applyFill="1" applyBorder="1" applyAlignment="1">
      <alignment horizontal="left" vertical="center"/>
    </xf>
    <xf numFmtId="0" fontId="34" fillId="0" borderId="21" xfId="0" applyFont="1" applyFill="1" applyBorder="1" applyAlignment="1">
      <alignment horizontal="center" vertical="center"/>
    </xf>
    <xf numFmtId="0" fontId="34" fillId="0" borderId="15" xfId="0" applyFont="1" applyFill="1" applyBorder="1" applyAlignment="1">
      <alignment horizontal="center" vertical="center"/>
    </xf>
    <xf numFmtId="0" fontId="18" fillId="0" borderId="1" xfId="0" applyFont="1" applyFill="1" applyBorder="1" applyAlignment="1">
      <alignment horizontal="center" vertical="center"/>
    </xf>
    <xf numFmtId="0" fontId="34" fillId="0" borderId="19" xfId="0" applyFont="1" applyFill="1" applyBorder="1" applyAlignment="1">
      <alignment horizontal="center" vertical="center"/>
    </xf>
    <xf numFmtId="0" fontId="34" fillId="0" borderId="16" xfId="0" applyFont="1" applyFill="1" applyBorder="1" applyAlignment="1">
      <alignment horizontal="center" vertical="center"/>
    </xf>
    <xf numFmtId="0" fontId="18" fillId="3" borderId="18"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8" fillId="0" borderId="0" xfId="0" applyFont="1" applyFill="1" applyBorder="1" applyAlignment="1">
      <alignment horizontal="center" vertical="center"/>
    </xf>
    <xf numFmtId="0" fontId="18" fillId="3" borderId="19" xfId="0" applyFont="1" applyFill="1" applyBorder="1" applyAlignment="1">
      <alignment horizontal="center" vertical="center" wrapText="1"/>
    </xf>
    <xf numFmtId="0" fontId="18" fillId="3" borderId="16" xfId="0" applyFont="1" applyFill="1" applyBorder="1" applyAlignment="1">
      <alignment horizontal="center" vertical="center" wrapText="1"/>
    </xf>
    <xf numFmtId="0" fontId="18" fillId="3" borderId="21"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8" fillId="0" borderId="2" xfId="0" applyFont="1" applyFill="1" applyBorder="1" applyAlignment="1">
      <alignment horizontal="center" vertical="center"/>
    </xf>
    <xf numFmtId="0" fontId="18" fillId="0" borderId="2" xfId="0" applyFont="1" applyBorder="1" applyAlignment="1">
      <alignment horizontal="center" vertical="center" wrapText="1"/>
    </xf>
    <xf numFmtId="0" fontId="34" fillId="0" borderId="0" xfId="0" applyFont="1" applyBorder="1" applyAlignment="1"/>
    <xf numFmtId="0" fontId="6" fillId="0" borderId="0" xfId="0" applyFont="1" applyBorder="1" applyAlignment="1"/>
    <xf numFmtId="0" fontId="18" fillId="0" borderId="4" xfId="0" applyFont="1" applyBorder="1" applyAlignment="1">
      <alignment horizontal="left"/>
    </xf>
    <xf numFmtId="0" fontId="18" fillId="0" borderId="4" xfId="0" applyFont="1" applyBorder="1" applyAlignment="1">
      <alignment horizontal="left" vertical="center"/>
    </xf>
    <xf numFmtId="187" fontId="18" fillId="0" borderId="14" xfId="0" applyNumberFormat="1" applyFont="1" applyBorder="1" applyAlignment="1">
      <alignment horizontal="center"/>
    </xf>
    <xf numFmtId="0" fontId="18" fillId="0" borderId="19" xfId="0" applyFont="1" applyBorder="1" applyAlignment="1">
      <alignment horizontal="center"/>
    </xf>
    <xf numFmtId="0" fontId="18" fillId="0" borderId="2" xfId="0" applyFont="1" applyBorder="1" applyAlignment="1">
      <alignment horizontal="center"/>
    </xf>
    <xf numFmtId="0" fontId="18" fillId="0" borderId="16" xfId="0" applyFont="1" applyBorder="1" applyAlignment="1">
      <alignment horizontal="center"/>
    </xf>
    <xf numFmtId="0" fontId="18" fillId="0" borderId="25" xfId="0" applyFont="1" applyBorder="1" applyAlignment="1">
      <alignment horizontal="center"/>
    </xf>
    <xf numFmtId="0" fontId="18" fillId="0" borderId="14" xfId="0" applyFont="1" applyBorder="1" applyAlignment="1">
      <alignment horizontal="center"/>
    </xf>
    <xf numFmtId="0" fontId="18" fillId="0" borderId="13" xfId="0" applyFont="1" applyBorder="1" applyAlignment="1">
      <alignment horizontal="center"/>
    </xf>
    <xf numFmtId="0" fontId="34" fillId="0" borderId="24" xfId="0" applyFont="1" applyBorder="1" applyAlignment="1">
      <alignment horizontal="center"/>
    </xf>
    <xf numFmtId="0" fontId="34" fillId="0" borderId="21" xfId="0" applyFont="1" applyBorder="1" applyAlignment="1">
      <alignment horizontal="center"/>
    </xf>
    <xf numFmtId="0" fontId="6" fillId="0" borderId="1" xfId="0" applyFont="1" applyBorder="1" applyAlignment="1">
      <alignment horizontal="center"/>
    </xf>
    <xf numFmtId="0" fontId="34" fillId="0" borderId="26" xfId="0" applyFont="1" applyBorder="1" applyAlignment="1">
      <alignment horizontal="center"/>
    </xf>
    <xf numFmtId="0" fontId="6" fillId="0" borderId="6" xfId="0" applyFont="1" applyBorder="1" applyAlignment="1">
      <alignment horizontal="center"/>
    </xf>
    <xf numFmtId="0" fontId="6" fillId="0" borderId="4" xfId="0" applyFont="1" applyBorder="1" applyAlignment="1">
      <alignment horizontal="center"/>
    </xf>
    <xf numFmtId="0" fontId="6" fillId="0" borderId="4" xfId="0" applyFont="1" applyBorder="1" applyAlignment="1">
      <alignment horizontal="left"/>
    </xf>
    <xf numFmtId="0" fontId="18" fillId="0" borderId="19" xfId="0" applyFont="1" applyBorder="1" applyAlignment="1">
      <alignment horizontal="center" vertical="center" wrapText="1"/>
    </xf>
    <xf numFmtId="181" fontId="34" fillId="3" borderId="19" xfId="0" applyNumberFormat="1" applyFont="1" applyFill="1" applyBorder="1" applyAlignment="1">
      <alignment horizontal="center" vertical="center"/>
    </xf>
    <xf numFmtId="181" fontId="34" fillId="3" borderId="16" xfId="0" applyNumberFormat="1" applyFont="1" applyFill="1" applyBorder="1" applyAlignment="1">
      <alignment horizontal="center" vertical="center"/>
    </xf>
    <xf numFmtId="0" fontId="6" fillId="0" borderId="24" xfId="0" applyFont="1" applyBorder="1" applyAlignment="1">
      <alignment horizontal="right"/>
    </xf>
    <xf numFmtId="0" fontId="6" fillId="0" borderId="0" xfId="0" applyFont="1" applyBorder="1" applyAlignment="1">
      <alignment horizontal="right"/>
    </xf>
    <xf numFmtId="0" fontId="6" fillId="0" borderId="21" xfId="0" applyFont="1" applyBorder="1" applyAlignment="1">
      <alignment horizontal="right"/>
    </xf>
    <xf numFmtId="0" fontId="6" fillId="0" borderId="1" xfId="0" applyFont="1" applyBorder="1" applyAlignment="1">
      <alignment horizontal="right"/>
    </xf>
    <xf numFmtId="0" fontId="34" fillId="3" borderId="0" xfId="0" applyFont="1" applyFill="1" applyAlignment="1">
      <alignment horizontal="left" vertical="center"/>
    </xf>
    <xf numFmtId="0" fontId="18" fillId="0" borderId="19" xfId="0" applyFont="1" applyBorder="1" applyAlignment="1">
      <alignment horizontal="left"/>
    </xf>
    <xf numFmtId="0" fontId="18" fillId="0" borderId="2" xfId="0" applyFont="1" applyBorder="1" applyAlignment="1">
      <alignment horizontal="left"/>
    </xf>
    <xf numFmtId="0" fontId="18" fillId="0" borderId="18" xfId="0" applyFont="1" applyBorder="1" applyAlignment="1">
      <alignment horizontal="center" vertical="center"/>
    </xf>
    <xf numFmtId="0" fontId="18" fillId="0" borderId="20" xfId="0" applyFont="1" applyBorder="1" applyAlignment="1">
      <alignment horizontal="center" vertical="center"/>
    </xf>
    <xf numFmtId="0" fontId="6" fillId="3" borderId="24"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4" xfId="0" applyFont="1" applyFill="1" applyBorder="1" applyAlignment="1">
      <alignment horizontal="left" vertical="center"/>
    </xf>
    <xf numFmtId="0" fontId="6" fillId="3" borderId="22" xfId="0" applyFont="1" applyFill="1" applyBorder="1" applyAlignment="1">
      <alignment horizontal="left" vertical="center"/>
    </xf>
    <xf numFmtId="0" fontId="6" fillId="3" borderId="21" xfId="0" applyFont="1" applyFill="1" applyBorder="1" applyAlignment="1">
      <alignment horizontal="left" vertical="center"/>
    </xf>
    <xf numFmtId="0" fontId="6" fillId="3" borderId="15" xfId="0" applyFont="1" applyFill="1" applyBorder="1" applyAlignment="1">
      <alignment horizontal="left" vertical="center"/>
    </xf>
    <xf numFmtId="0" fontId="18" fillId="0" borderId="19" xfId="0" applyFont="1" applyBorder="1" applyAlignment="1">
      <alignment horizontal="center" vertical="center"/>
    </xf>
    <xf numFmtId="0" fontId="18" fillId="0" borderId="16" xfId="0" applyFont="1" applyBorder="1" applyAlignment="1">
      <alignment horizontal="center" vertical="center"/>
    </xf>
    <xf numFmtId="0" fontId="18" fillId="0" borderId="21" xfId="0" applyFont="1" applyBorder="1" applyAlignment="1">
      <alignment horizontal="center" vertical="center"/>
    </xf>
    <xf numFmtId="0" fontId="18" fillId="0" borderId="15" xfId="0" applyFont="1" applyBorder="1" applyAlignment="1">
      <alignment horizontal="center" vertical="center"/>
    </xf>
    <xf numFmtId="0" fontId="34" fillId="0" borderId="0" xfId="0" applyFont="1" applyAlignment="1">
      <alignment horizontal="center"/>
    </xf>
    <xf numFmtId="0" fontId="34" fillId="0" borderId="0" xfId="0" applyFont="1" applyAlignment="1">
      <alignment horizontal="left"/>
    </xf>
    <xf numFmtId="0" fontId="7" fillId="3" borderId="2"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15" xfId="0" applyFont="1" applyFill="1" applyBorder="1" applyAlignment="1">
      <alignment horizontal="center" vertical="center"/>
    </xf>
    <xf numFmtId="0" fontId="18" fillId="3" borderId="2" xfId="0" applyFont="1" applyFill="1" applyBorder="1" applyAlignment="1">
      <alignment horizontal="left" wrapText="1"/>
    </xf>
    <xf numFmtId="0" fontId="6" fillId="3" borderId="2" xfId="0" applyFont="1" applyFill="1" applyBorder="1" applyAlignment="1">
      <alignment horizontal="left" wrapText="1"/>
    </xf>
    <xf numFmtId="0" fontId="6" fillId="3" borderId="2" xfId="0" applyFont="1" applyFill="1" applyBorder="1" applyAlignment="1">
      <alignment horizontal="center" vertical="center"/>
    </xf>
    <xf numFmtId="0" fontId="34" fillId="3" borderId="1" xfId="0" applyFont="1" applyFill="1" applyBorder="1" applyAlignment="1">
      <alignment horizontal="center"/>
    </xf>
    <xf numFmtId="0" fontId="6" fillId="3" borderId="1" xfId="0" applyFont="1" applyFill="1" applyBorder="1" applyAlignment="1">
      <alignment horizontal="center"/>
    </xf>
    <xf numFmtId="0" fontId="6" fillId="3" borderId="19" xfId="0" applyFont="1" applyFill="1" applyBorder="1" applyAlignment="1">
      <alignment horizontal="left" vertical="center"/>
    </xf>
    <xf numFmtId="0" fontId="6" fillId="3" borderId="16" xfId="0" applyFont="1" applyFill="1" applyBorder="1" applyAlignment="1">
      <alignment horizontal="left" vertical="center"/>
    </xf>
    <xf numFmtId="0" fontId="6" fillId="3" borderId="16" xfId="0" applyFont="1" applyFill="1" applyBorder="1" applyAlignment="1">
      <alignment horizontal="center" vertical="center"/>
    </xf>
    <xf numFmtId="0" fontId="6" fillId="0" borderId="0" xfId="0" applyFont="1" applyBorder="1" applyAlignment="1">
      <alignment horizontal="left"/>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18" fillId="0" borderId="2" xfId="0" applyFont="1" applyBorder="1" applyAlignment="1">
      <alignment horizontal="center" vertical="center"/>
    </xf>
    <xf numFmtId="0" fontId="18" fillId="0" borderId="1" xfId="0" applyFont="1" applyBorder="1" applyAlignment="1">
      <alignment horizontal="center" vertical="center"/>
    </xf>
    <xf numFmtId="0" fontId="6" fillId="0" borderId="2" xfId="0" applyFont="1" applyBorder="1" applyAlignment="1">
      <alignment horizontal="center" vertical="center"/>
    </xf>
    <xf numFmtId="0" fontId="6" fillId="0" borderId="16" xfId="0" applyFont="1" applyBorder="1" applyAlignment="1">
      <alignment horizontal="center" vertical="center"/>
    </xf>
    <xf numFmtId="0" fontId="6" fillId="0" borderId="22" xfId="0" applyFont="1" applyBorder="1" applyAlignment="1">
      <alignment horizontal="center" vertical="center"/>
    </xf>
    <xf numFmtId="0" fontId="34" fillId="0" borderId="1" xfId="0" applyFont="1" applyBorder="1" applyAlignment="1">
      <alignment horizontal="center" vertical="center"/>
    </xf>
    <xf numFmtId="0" fontId="34" fillId="0" borderId="15" xfId="0" applyFont="1" applyBorder="1" applyAlignment="1">
      <alignment horizontal="center" vertical="center"/>
    </xf>
    <xf numFmtId="0" fontId="6" fillId="0" borderId="24" xfId="0" applyFont="1" applyBorder="1" applyAlignment="1">
      <alignment horizontal="center" vertical="center"/>
    </xf>
    <xf numFmtId="0" fontId="6" fillId="0" borderId="15" xfId="0" applyFont="1" applyBorder="1" applyAlignment="1">
      <alignment horizontal="center" vertical="center"/>
    </xf>
    <xf numFmtId="3" fontId="6" fillId="0" borderId="0" xfId="0" applyNumberFormat="1" applyFont="1" applyAlignment="1">
      <alignment horizontal="center"/>
    </xf>
    <xf numFmtId="0" fontId="34" fillId="0" borderId="5" xfId="0" applyFont="1" applyBorder="1" applyAlignment="1">
      <alignment horizontal="center"/>
    </xf>
    <xf numFmtId="3" fontId="6" fillId="0" borderId="9" xfId="0" applyNumberFormat="1" applyFont="1" applyBorder="1" applyAlignment="1">
      <alignment horizontal="center"/>
    </xf>
    <xf numFmtId="1" fontId="6" fillId="0" borderId="0" xfId="0" applyNumberFormat="1" applyFont="1" applyBorder="1" applyAlignment="1">
      <alignment horizontal="center"/>
    </xf>
    <xf numFmtId="4" fontId="6" fillId="0" borderId="12" xfId="0" applyNumberFormat="1" applyFont="1" applyBorder="1" applyAlignment="1">
      <alignment horizontal="center"/>
    </xf>
    <xf numFmtId="4" fontId="6" fillId="0" borderId="3" xfId="0" applyNumberFormat="1" applyFont="1" applyBorder="1" applyAlignment="1">
      <alignment horizontal="center"/>
    </xf>
    <xf numFmtId="0" fontId="6" fillId="0" borderId="59" xfId="0" applyFont="1" applyBorder="1" applyAlignment="1">
      <alignment horizontal="center"/>
    </xf>
    <xf numFmtId="0" fontId="18" fillId="3" borderId="0" xfId="0" applyFont="1" applyFill="1" applyBorder="1" applyAlignment="1">
      <alignment horizontal="left" wrapText="1"/>
    </xf>
    <xf numFmtId="0" fontId="6" fillId="0" borderId="26" xfId="0" applyFont="1" applyBorder="1" applyAlignment="1">
      <alignment horizontal="left"/>
    </xf>
    <xf numFmtId="0" fontId="6" fillId="0" borderId="12" xfId="0" applyFont="1" applyBorder="1" applyAlignment="1">
      <alignment horizontal="left"/>
    </xf>
    <xf numFmtId="0" fontId="18" fillId="3" borderId="2" xfId="0" applyFont="1" applyFill="1" applyBorder="1" applyAlignment="1">
      <alignment horizontal="left" vertical="center"/>
    </xf>
    <xf numFmtId="0" fontId="18" fillId="3" borderId="0" xfId="0" applyFont="1" applyFill="1" applyBorder="1" applyAlignment="1">
      <alignment horizontal="left" vertical="center"/>
    </xf>
    <xf numFmtId="0" fontId="34" fillId="3" borderId="25"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0" xfId="0" applyFont="1" applyFill="1" applyBorder="1" applyAlignment="1">
      <alignment horizontal="left" wrapText="1"/>
    </xf>
    <xf numFmtId="0" fontId="34" fillId="3" borderId="0" xfId="0" applyFont="1" applyFill="1" applyAlignment="1">
      <alignment horizontal="center" vertical="center"/>
    </xf>
    <xf numFmtId="0" fontId="18" fillId="3" borderId="0" xfId="0" applyFont="1" applyFill="1" applyAlignment="1">
      <alignment horizontal="center" vertical="center"/>
    </xf>
    <xf numFmtId="187" fontId="6" fillId="0" borderId="1" xfId="0" applyNumberFormat="1" applyFont="1" applyBorder="1" applyAlignment="1">
      <alignment horizontal="center"/>
    </xf>
    <xf numFmtId="3" fontId="18" fillId="0" borderId="26" xfId="0" applyNumberFormat="1" applyFont="1" applyBorder="1" applyAlignment="1">
      <alignment horizontal="center"/>
    </xf>
    <xf numFmtId="3" fontId="18" fillId="0" borderId="6" xfId="0" applyNumberFormat="1" applyFont="1" applyBorder="1" applyAlignment="1">
      <alignment horizontal="center"/>
    </xf>
    <xf numFmtId="0" fontId="18" fillId="0" borderId="10" xfId="0" applyFont="1" applyBorder="1" applyAlignment="1">
      <alignment horizontal="center"/>
    </xf>
    <xf numFmtId="0" fontId="34" fillId="0" borderId="0" xfId="0" applyFont="1" applyBorder="1" applyAlignment="1">
      <alignment horizontal="left" vertical="center" wrapText="1" shrinkToFit="1"/>
    </xf>
    <xf numFmtId="0" fontId="6" fillId="0" borderId="0" xfId="0" applyFont="1" applyBorder="1" applyAlignment="1">
      <alignment horizontal="left" vertical="center" wrapText="1" shrinkToFit="1"/>
    </xf>
    <xf numFmtId="3" fontId="6" fillId="0" borderId="26" xfId="0" applyNumberFormat="1" applyFont="1" applyBorder="1" applyAlignment="1">
      <alignment horizontal="center"/>
    </xf>
    <xf numFmtId="0" fontId="18" fillId="0" borderId="0" xfId="0" applyFont="1" applyBorder="1" applyAlignment="1">
      <alignment horizontal="center" vertical="center" wrapText="1"/>
    </xf>
    <xf numFmtId="187" fontId="6" fillId="0" borderId="0" xfId="0" applyNumberFormat="1" applyFont="1" applyBorder="1" applyAlignment="1">
      <alignment horizontal="center"/>
    </xf>
    <xf numFmtId="0" fontId="34" fillId="0" borderId="24" xfId="0" applyFont="1" applyBorder="1" applyAlignment="1">
      <alignment horizontal="right" vertical="center"/>
    </xf>
    <xf numFmtId="0" fontId="34" fillId="0" borderId="0" xfId="0" applyFont="1" applyBorder="1" applyAlignment="1">
      <alignment horizontal="right" vertical="center"/>
    </xf>
    <xf numFmtId="0" fontId="34" fillId="0" borderId="4" xfId="0" applyFont="1" applyBorder="1" applyAlignment="1">
      <alignment horizontal="left" vertical="center"/>
    </xf>
    <xf numFmtId="0" fontId="6" fillId="0" borderId="4" xfId="0" applyFont="1" applyBorder="1" applyAlignment="1">
      <alignment horizontal="left" vertical="center"/>
    </xf>
    <xf numFmtId="0" fontId="34" fillId="0" borderId="4" xfId="0" applyFont="1" applyBorder="1" applyAlignment="1">
      <alignment horizontal="left"/>
    </xf>
    <xf numFmtId="0" fontId="18" fillId="0" borderId="11" xfId="0" applyFont="1" applyBorder="1" applyAlignment="1">
      <alignment horizontal="center"/>
    </xf>
    <xf numFmtId="181" fontId="34" fillId="0" borderId="24" xfId="0" applyNumberFormat="1" applyFont="1" applyBorder="1" applyAlignment="1">
      <alignment horizontal="center" vertical="center"/>
    </xf>
    <xf numFmtId="181" fontId="34" fillId="0" borderId="22" xfId="0" applyNumberFormat="1" applyFont="1" applyBorder="1" applyAlignment="1">
      <alignment horizontal="center" vertical="center"/>
    </xf>
    <xf numFmtId="0" fontId="18" fillId="0" borderId="24" xfId="0" applyFont="1" applyBorder="1" applyAlignment="1">
      <alignment horizontal="left" vertical="center"/>
    </xf>
    <xf numFmtId="0" fontId="18" fillId="0" borderId="0" xfId="0" applyFont="1" applyBorder="1" applyAlignment="1">
      <alignment horizontal="left" vertical="center"/>
    </xf>
    <xf numFmtId="0" fontId="18" fillId="0" borderId="24" xfId="0" applyFont="1" applyBorder="1" applyAlignment="1">
      <alignment horizontal="center" vertical="center"/>
    </xf>
    <xf numFmtId="0" fontId="18" fillId="0" borderId="22" xfId="0" applyFont="1" applyBorder="1" applyAlignment="1">
      <alignment horizontal="center" vertical="center"/>
    </xf>
    <xf numFmtId="0" fontId="6" fillId="3" borderId="0" xfId="0" applyFont="1" applyFill="1" applyAlignment="1">
      <alignment horizontal="left"/>
    </xf>
    <xf numFmtId="0" fontId="18" fillId="0" borderId="18"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0" xfId="0" applyFont="1" applyBorder="1" applyAlignment="1">
      <alignment horizontal="center" vertical="center" wrapText="1"/>
    </xf>
    <xf numFmtId="0" fontId="34" fillId="0" borderId="21" xfId="0" applyFont="1" applyBorder="1" applyAlignment="1">
      <alignment horizontal="right" vertical="center"/>
    </xf>
    <xf numFmtId="0" fontId="34" fillId="0" borderId="1" xfId="0" applyFont="1" applyBorder="1" applyAlignment="1">
      <alignment horizontal="right" vertical="center"/>
    </xf>
    <xf numFmtId="181" fontId="34" fillId="0" borderId="21" xfId="0" applyNumberFormat="1" applyFont="1" applyBorder="1" applyAlignment="1">
      <alignment horizontal="center" vertical="center"/>
    </xf>
    <xf numFmtId="0" fontId="6" fillId="12" borderId="55" xfId="0" applyFont="1" applyFill="1" applyBorder="1" applyAlignment="1">
      <alignment horizontal="center" vertical="center" wrapText="1"/>
    </xf>
    <xf numFmtId="0" fontId="6" fillId="12" borderId="56" xfId="0" applyFont="1" applyFill="1" applyBorder="1" applyAlignment="1">
      <alignment horizontal="center" vertical="center" wrapText="1"/>
    </xf>
    <xf numFmtId="0" fontId="6" fillId="12" borderId="57" xfId="0" applyFont="1" applyFill="1" applyBorder="1" applyAlignment="1">
      <alignment horizontal="center" vertical="center" wrapText="1"/>
    </xf>
    <xf numFmtId="0" fontId="34" fillId="12" borderId="0" xfId="0" applyFont="1" applyFill="1" applyAlignment="1">
      <alignment horizontal="left" vertical="center" wrapText="1"/>
    </xf>
    <xf numFmtId="0" fontId="6" fillId="12" borderId="0" xfId="0" applyFont="1" applyFill="1" applyAlignment="1">
      <alignment horizontal="left" vertical="center" wrapText="1"/>
    </xf>
    <xf numFmtId="0" fontId="34" fillId="0" borderId="4" xfId="0" applyFont="1" applyBorder="1" applyAlignment="1">
      <alignment horizontal="center"/>
    </xf>
    <xf numFmtId="0" fontId="34" fillId="0" borderId="6" xfId="0" applyFont="1" applyBorder="1" applyAlignment="1">
      <alignment horizontal="center"/>
    </xf>
    <xf numFmtId="0" fontId="6" fillId="12" borderId="55" xfId="0" applyFont="1" applyFill="1" applyBorder="1" applyAlignment="1">
      <alignment horizontal="center" vertical="center"/>
    </xf>
    <xf numFmtId="0" fontId="6" fillId="12" borderId="57" xfId="0" applyFont="1" applyFill="1" applyBorder="1" applyAlignment="1">
      <alignment horizontal="center" vertical="center"/>
    </xf>
    <xf numFmtId="0" fontId="18" fillId="0" borderId="25" xfId="0" applyFont="1" applyBorder="1" applyAlignment="1">
      <alignment horizontal="center" vertical="center"/>
    </xf>
    <xf numFmtId="0" fontId="6" fillId="0" borderId="25" xfId="0" applyFont="1" applyBorder="1" applyAlignment="1">
      <alignment horizontal="left"/>
    </xf>
    <xf numFmtId="0" fontId="6" fillId="0" borderId="14" xfId="0" applyFont="1" applyBorder="1" applyAlignment="1">
      <alignment horizontal="left"/>
    </xf>
    <xf numFmtId="0" fontId="31" fillId="0" borderId="25" xfId="0" applyFont="1" applyBorder="1" applyAlignment="1">
      <alignment horizontal="left"/>
    </xf>
    <xf numFmtId="0" fontId="11" fillId="0" borderId="14" xfId="0" applyFont="1" applyBorder="1" applyAlignment="1">
      <alignment horizontal="left"/>
    </xf>
    <xf numFmtId="0" fontId="34" fillId="0" borderId="25" xfId="0" quotePrefix="1" applyFont="1" applyBorder="1" applyAlignment="1">
      <alignment horizontal="left"/>
    </xf>
    <xf numFmtId="0" fontId="34" fillId="0" borderId="25" xfId="0" applyFont="1" applyBorder="1" applyAlignment="1">
      <alignment horizontal="left"/>
    </xf>
    <xf numFmtId="0" fontId="6" fillId="0" borderId="21" xfId="0" applyFont="1" applyBorder="1" applyAlignment="1">
      <alignment horizontal="center"/>
    </xf>
    <xf numFmtId="0" fontId="6" fillId="3" borderId="19" xfId="0" applyFont="1" applyFill="1" applyBorder="1" applyAlignment="1">
      <alignment horizontal="center" vertical="center"/>
    </xf>
    <xf numFmtId="0" fontId="34" fillId="0" borderId="19" xfId="0" applyFont="1" applyBorder="1" applyAlignment="1">
      <alignment horizontal="left" vertical="center" wrapText="1"/>
    </xf>
    <xf numFmtId="0" fontId="34" fillId="0" borderId="2" xfId="0" applyFont="1" applyBorder="1" applyAlignment="1">
      <alignment horizontal="left" vertical="center" wrapText="1"/>
    </xf>
    <xf numFmtId="0" fontId="34" fillId="0" borderId="24" xfId="0" applyFont="1" applyBorder="1" applyAlignment="1">
      <alignment horizontal="left" vertical="center" wrapText="1"/>
    </xf>
    <xf numFmtId="0" fontId="34" fillId="0" borderId="21" xfId="0" applyFont="1" applyBorder="1" applyAlignment="1">
      <alignment horizontal="left" vertical="center" wrapText="1"/>
    </xf>
    <xf numFmtId="0" fontId="34" fillId="0" borderId="1" xfId="0" applyFont="1" applyBorder="1" applyAlignment="1">
      <alignment horizontal="left" vertical="center" wrapText="1"/>
    </xf>
    <xf numFmtId="181" fontId="34" fillId="0" borderId="23" xfId="0" applyNumberFormat="1" applyFont="1" applyBorder="1" applyAlignment="1">
      <alignment horizontal="center" vertical="center"/>
    </xf>
    <xf numFmtId="181" fontId="34" fillId="0" borderId="20" xfId="0" applyNumberFormat="1" applyFont="1" applyBorder="1" applyAlignment="1">
      <alignment horizontal="center" vertical="center"/>
    </xf>
    <xf numFmtId="0" fontId="31" fillId="0" borderId="4" xfId="0" applyFont="1" applyBorder="1"/>
  </cellXfs>
  <cellStyles count="404">
    <cellStyle name="Hiperlink" xfId="3" builtinId="8" hidden="1"/>
    <cellStyle name="Hiperlink" xfId="5" builtinId="8" hidden="1"/>
    <cellStyle name="Hiperlink" xfId="7" builtinId="8" hidden="1"/>
    <cellStyle name="Hiperlink" xfId="9" builtinId="8" hidden="1"/>
    <cellStyle name="Hiperlink" xfId="11" builtinId="8" hidden="1"/>
    <cellStyle name="Hiperlink" xfId="13" builtinId="8" hidden="1"/>
    <cellStyle name="Hiperlink" xfId="15" builtinId="8" hidden="1"/>
    <cellStyle name="Hiperlink" xfId="17" builtinId="8" hidden="1"/>
    <cellStyle name="Hiperlink" xfId="19" builtinId="8" hidden="1"/>
    <cellStyle name="Hiperlink" xfId="21" builtinId="8" hidden="1"/>
    <cellStyle name="Hiperlink" xfId="23" builtinId="8" hidden="1"/>
    <cellStyle name="Hiperlink" xfId="25" builtinId="8" hidden="1"/>
    <cellStyle name="Hiperlink" xfId="27" builtinId="8" hidden="1"/>
    <cellStyle name="Hiperlink" xfId="29" builtinId="8" hidden="1"/>
    <cellStyle name="Hiperlink" xfId="31" builtinId="8" hidden="1"/>
    <cellStyle name="Hiperlink" xfId="33" builtinId="8" hidden="1"/>
    <cellStyle name="Hiperlink" xfId="35" builtinId="8" hidden="1"/>
    <cellStyle name="Hiperlink" xfId="37" builtinId="8" hidden="1"/>
    <cellStyle name="Hiperlink" xfId="39" builtinId="8" hidden="1"/>
    <cellStyle name="Hiperlink" xfId="41" builtinId="8" hidden="1"/>
    <cellStyle name="Hiperlink" xfId="43" builtinId="8" hidden="1"/>
    <cellStyle name="Hiperlink" xfId="45" builtinId="8" hidden="1"/>
    <cellStyle name="Hiperlink" xfId="47" builtinId="8" hidden="1"/>
    <cellStyle name="Hiperlink" xfId="49" builtinId="8" hidden="1"/>
    <cellStyle name="Hiperlink" xfId="51" builtinId="8" hidden="1"/>
    <cellStyle name="Hiperlink" xfId="53" builtinId="8" hidden="1"/>
    <cellStyle name="Hiperlink" xfId="55" builtinId="8" hidden="1"/>
    <cellStyle name="Hiperlink" xfId="57" builtinId="8" hidden="1"/>
    <cellStyle name="Hiperlink" xfId="59" builtinId="8" hidden="1"/>
    <cellStyle name="Hiperlink" xfId="61" builtinId="8" hidden="1"/>
    <cellStyle name="Hiperlink" xfId="63" builtinId="8" hidden="1"/>
    <cellStyle name="Hiperlink" xfId="65" builtinId="8" hidden="1"/>
    <cellStyle name="Hiperlink" xfId="67" builtinId="8" hidden="1"/>
    <cellStyle name="Hiperlink" xfId="69" builtinId="8" hidden="1"/>
    <cellStyle name="Hiperlink" xfId="71" builtinId="8" hidden="1"/>
    <cellStyle name="Hiperlink" xfId="73" builtinId="8" hidden="1"/>
    <cellStyle name="Hiperlink" xfId="75" builtinId="8" hidden="1"/>
    <cellStyle name="Hiperlink" xfId="77" builtinId="8" hidden="1"/>
    <cellStyle name="Hiperlink" xfId="79" builtinId="8" hidden="1"/>
    <cellStyle name="Hiperlink" xfId="81" builtinId="8" hidden="1"/>
    <cellStyle name="Hiperlink" xfId="83" builtinId="8" hidden="1"/>
    <cellStyle name="Hiperlink" xfId="85" builtinId="8" hidden="1"/>
    <cellStyle name="Hiperlink" xfId="87" builtinId="8" hidden="1"/>
    <cellStyle name="Hiperlink" xfId="89" builtinId="8" hidden="1"/>
    <cellStyle name="Hiperlink" xfId="91" builtinId="8" hidden="1"/>
    <cellStyle name="Hiperlink" xfId="93" builtinId="8" hidden="1"/>
    <cellStyle name="Hiperlink" xfId="95" builtinId="8" hidden="1"/>
    <cellStyle name="Hiperlink" xfId="97" builtinId="8" hidden="1"/>
    <cellStyle name="Hiperlink" xfId="99" builtinId="8" hidden="1"/>
    <cellStyle name="Hiperlink" xfId="101" builtinId="8" hidden="1"/>
    <cellStyle name="Hiperlink" xfId="103" builtinId="8" hidden="1"/>
    <cellStyle name="Hiperlink" xfId="105" builtinId="8" hidden="1"/>
    <cellStyle name="Hiperlink" xfId="107" builtinId="8" hidden="1"/>
    <cellStyle name="Hiperlink" xfId="109" builtinId="8" hidden="1"/>
    <cellStyle name="Hiperlink" xfId="111" builtinId="8" hidden="1"/>
    <cellStyle name="Hiperlink" xfId="113" builtinId="8" hidden="1"/>
    <cellStyle name="Hiperlink" xfId="115" builtinId="8" hidden="1"/>
    <cellStyle name="Hiperlink" xfId="117" builtinId="8" hidden="1"/>
    <cellStyle name="Hiperlink" xfId="119" builtinId="8" hidden="1"/>
    <cellStyle name="Hiperlink" xfId="121" builtinId="8" hidden="1"/>
    <cellStyle name="Hiperlink" xfId="123" builtinId="8" hidden="1"/>
    <cellStyle name="Hiperlink" xfId="125" builtinId="8" hidden="1"/>
    <cellStyle name="Hiperlink" xfId="127" builtinId="8" hidden="1"/>
    <cellStyle name="Hiperlink" xfId="129" builtinId="8" hidden="1"/>
    <cellStyle name="Hiperlink" xfId="131" builtinId="8" hidden="1"/>
    <cellStyle name="Hiperlink" xfId="133" builtinId="8" hidden="1"/>
    <cellStyle name="Hiperlink" xfId="135" builtinId="8" hidden="1"/>
    <cellStyle name="Hiperlink" xfId="137" builtinId="8" hidden="1"/>
    <cellStyle name="Hiperlink" xfId="139" builtinId="8" hidden="1"/>
    <cellStyle name="Hiperlink" xfId="141" builtinId="8" hidden="1"/>
    <cellStyle name="Hiperlink" xfId="143" builtinId="8" hidden="1"/>
    <cellStyle name="Hiperlink" xfId="145" builtinId="8" hidden="1"/>
    <cellStyle name="Hiperlink" xfId="147" builtinId="8" hidden="1"/>
    <cellStyle name="Hiperlink" xfId="149" builtinId="8" hidden="1"/>
    <cellStyle name="Hiperlink" xfId="151" builtinId="8" hidden="1"/>
    <cellStyle name="Hiperlink" xfId="153" builtinId="8" hidden="1"/>
    <cellStyle name="Hiperlink" xfId="155" builtinId="8" hidden="1"/>
    <cellStyle name="Hiperlink" xfId="157" builtinId="8" hidden="1"/>
    <cellStyle name="Hiperlink" xfId="159" builtinId="8" hidden="1"/>
    <cellStyle name="Hiperlink" xfId="161" builtinId="8" hidden="1"/>
    <cellStyle name="Hiperlink" xfId="163" builtinId="8" hidden="1"/>
    <cellStyle name="Hiperlink" xfId="165" builtinId="8" hidden="1"/>
    <cellStyle name="Hiperlink" xfId="167" builtinId="8" hidden="1"/>
    <cellStyle name="Hiperlink" xfId="169" builtinId="8" hidden="1"/>
    <cellStyle name="Hiperlink" xfId="171" builtinId="8" hidden="1"/>
    <cellStyle name="Hiperlink" xfId="173" builtinId="8" hidden="1"/>
    <cellStyle name="Hiperlink" xfId="175" builtinId="8" hidden="1"/>
    <cellStyle name="Hiperlink" xfId="177" builtinId="8" hidden="1"/>
    <cellStyle name="Hiperlink" xfId="179" builtinId="8" hidden="1"/>
    <cellStyle name="Hiperlink" xfId="181" builtinId="8" hidden="1"/>
    <cellStyle name="Hiperlink" xfId="183" builtinId="8" hidden="1"/>
    <cellStyle name="Hiperlink" xfId="185" builtinId="8" hidden="1"/>
    <cellStyle name="Hiperlink" xfId="187" builtinId="8" hidden="1"/>
    <cellStyle name="Hiperlink" xfId="189" builtinId="8" hidden="1"/>
    <cellStyle name="Hiperlink" xfId="191" builtinId="8" hidden="1"/>
    <cellStyle name="Hiperlink" xfId="193" builtinId="8" hidden="1"/>
    <cellStyle name="Hiperlink" xfId="195" builtinId="8" hidden="1"/>
    <cellStyle name="Hiperlink" xfId="197" builtinId="8" hidden="1"/>
    <cellStyle name="Hiperlink" xfId="199" builtinId="8" hidden="1"/>
    <cellStyle name="Hiperlink" xfId="201" builtinId="8" hidden="1"/>
    <cellStyle name="Hiperlink" xfId="203" builtinId="8" hidden="1"/>
    <cellStyle name="Hiperlink" xfId="205" builtinId="8" hidden="1"/>
    <cellStyle name="Hiperlink" xfId="207" builtinId="8" hidden="1"/>
    <cellStyle name="Hiperlink" xfId="209" builtinId="8" hidden="1"/>
    <cellStyle name="Hiperlink" xfId="211" builtinId="8" hidden="1"/>
    <cellStyle name="Hiperlink" xfId="213" builtinId="8" hidden="1"/>
    <cellStyle name="Hiperlink" xfId="216" builtinId="8" hidden="1"/>
    <cellStyle name="Hiperlink" xfId="218" builtinId="8" hidden="1"/>
    <cellStyle name="Hiperlink" xfId="220" builtinId="8" hidden="1"/>
    <cellStyle name="Hiperlink" xfId="222" builtinId="8" hidden="1"/>
    <cellStyle name="Hiperlink" xfId="224" builtinId="8" hidden="1"/>
    <cellStyle name="Hiperlink" xfId="226" builtinId="8" hidden="1"/>
    <cellStyle name="Hiperlink" xfId="228" builtinId="8" hidden="1"/>
    <cellStyle name="Hiperlink" xfId="230" builtinId="8" hidden="1"/>
    <cellStyle name="Hiperlink" xfId="232" builtinId="8" hidden="1"/>
    <cellStyle name="Hiperlink" xfId="234" builtinId="8" hidden="1"/>
    <cellStyle name="Hiperlink" xfId="236" builtinId="8" hidden="1"/>
    <cellStyle name="Hiperlink" xfId="238" builtinId="8" hidden="1"/>
    <cellStyle name="Hiperlink" xfId="240" builtinId="8" hidden="1"/>
    <cellStyle name="Hiperlink" xfId="242" builtinId="8" hidden="1"/>
    <cellStyle name="Hiperlink" xfId="244" builtinId="8" hidden="1"/>
    <cellStyle name="Hiperlink" xfId="246" builtinId="8" hidden="1"/>
    <cellStyle name="Hiperlink" xfId="248" builtinId="8" hidden="1"/>
    <cellStyle name="Hiperlink" xfId="250" builtinId="8" hidden="1"/>
    <cellStyle name="Hiperlink" xfId="252" builtinId="8" hidden="1"/>
    <cellStyle name="Hiperlink" xfId="254" builtinId="8" hidden="1"/>
    <cellStyle name="Hiperlink" xfId="256" builtinId="8" hidden="1"/>
    <cellStyle name="Hiperlink" xfId="258" builtinId="8" hidden="1"/>
    <cellStyle name="Hiperlink" xfId="260" builtinId="8" hidden="1"/>
    <cellStyle name="Hiperlink" xfId="262" builtinId="8" hidden="1"/>
    <cellStyle name="Hiperlink" xfId="264" builtinId="8" hidden="1"/>
    <cellStyle name="Hiperlink" xfId="266" builtinId="8" hidden="1"/>
    <cellStyle name="Hiperlink" xfId="268" builtinId="8" hidden="1"/>
    <cellStyle name="Hiperlink" xfId="270" builtinId="8" hidden="1"/>
    <cellStyle name="Hiperlink" xfId="272" builtinId="8" hidden="1"/>
    <cellStyle name="Hiperlink" xfId="274" builtinId="8" hidden="1"/>
    <cellStyle name="Hiperlink" xfId="276" builtinId="8" hidden="1"/>
    <cellStyle name="Hiperlink" xfId="278" builtinId="8" hidden="1"/>
    <cellStyle name="Hiperlink" xfId="280" builtinId="8" hidden="1"/>
    <cellStyle name="Hiperlink" xfId="282" builtinId="8" hidden="1"/>
    <cellStyle name="Hiperlink" xfId="284" builtinId="8" hidden="1"/>
    <cellStyle name="Hiperlink" xfId="286" builtinId="8" hidden="1"/>
    <cellStyle name="Hiperlink" xfId="288" builtinId="8" hidden="1"/>
    <cellStyle name="Hiperlink" xfId="290" builtinId="8" hidden="1"/>
    <cellStyle name="Hiperlink" xfId="292" builtinId="8" hidden="1"/>
    <cellStyle name="Hiperlink" xfId="294" builtinId="8" hidden="1"/>
    <cellStyle name="Hiperlink" xfId="296" builtinId="8" hidden="1"/>
    <cellStyle name="Hiperlink" xfId="298" builtinId="8" hidden="1"/>
    <cellStyle name="Hiperlink" xfId="300" builtinId="8" hidden="1"/>
    <cellStyle name="Hiperlink" xfId="302" builtinId="8" hidden="1"/>
    <cellStyle name="Hiperlink" xfId="304" builtinId="8" hidden="1"/>
    <cellStyle name="Hiperlink" xfId="306" builtinId="8" hidden="1"/>
    <cellStyle name="Hiperlink" xfId="308" builtinId="8" hidden="1"/>
    <cellStyle name="Hiperlink" xfId="310" builtinId="8" hidden="1"/>
    <cellStyle name="Hiperlink" xfId="312" builtinId="8" hidden="1"/>
    <cellStyle name="Hiperlink" xfId="314" builtinId="8" hidden="1"/>
    <cellStyle name="Hiperlink" xfId="316" builtinId="8" hidden="1"/>
    <cellStyle name="Hiperlink" xfId="318" builtinId="8" hidden="1"/>
    <cellStyle name="Hiperlink" xfId="320" builtinId="8" hidden="1"/>
    <cellStyle name="Hiperlink" xfId="322" builtinId="8" hidden="1"/>
    <cellStyle name="Hiperlink" xfId="324" builtinId="8" hidden="1"/>
    <cellStyle name="Hiperlink" xfId="326" builtinId="8" hidden="1"/>
    <cellStyle name="Hiperlink" xfId="328" builtinId="8" hidden="1"/>
    <cellStyle name="Hiperlink" xfId="330" builtinId="8" hidden="1"/>
    <cellStyle name="Hiperlink" xfId="332" builtinId="8" hidden="1"/>
    <cellStyle name="Hiperlink" xfId="334" builtinId="8" hidden="1"/>
    <cellStyle name="Hiperlink" xfId="336" builtinId="8" hidden="1"/>
    <cellStyle name="Hiperlink" xfId="338" builtinId="8" hidden="1"/>
    <cellStyle name="Hiperlink" xfId="340" builtinId="8" hidden="1"/>
    <cellStyle name="Hiperlink" xfId="342" builtinId="8" hidden="1"/>
    <cellStyle name="Hiperlink" xfId="344" builtinId="8" hidden="1"/>
    <cellStyle name="Hiperlink" xfId="346" builtinId="8" hidden="1"/>
    <cellStyle name="Hiperlink" xfId="348" builtinId="8" hidden="1"/>
    <cellStyle name="Hiperlink" xfId="350" builtinId="8" hidden="1"/>
    <cellStyle name="Hiperlink" xfId="352" builtinId="8" hidden="1"/>
    <cellStyle name="Hiperlink" xfId="354" builtinId="8" hidden="1"/>
    <cellStyle name="Hiperlink" xfId="356" builtinId="8" hidden="1"/>
    <cellStyle name="Hiperlink" xfId="358" builtinId="8" hidden="1"/>
    <cellStyle name="Hiperlink" xfId="360" builtinId="8" hidden="1"/>
    <cellStyle name="Hiperlink" xfId="362" builtinId="8" hidden="1"/>
    <cellStyle name="Hiperlink" xfId="364" builtinId="8" hidden="1"/>
    <cellStyle name="Hiperlink" xfId="366" builtinId="8" hidden="1"/>
    <cellStyle name="Hiperlink" xfId="368" builtinId="8" hidden="1"/>
    <cellStyle name="Hiperlink" xfId="370" builtinId="8" hidden="1"/>
    <cellStyle name="Hiperlink" xfId="372" builtinId="8" hidden="1"/>
    <cellStyle name="Hiperlink" xfId="374" builtinId="8" hidden="1"/>
    <cellStyle name="Hiperlink" xfId="376" builtinId="8" hidden="1"/>
    <cellStyle name="Hiperlink" xfId="378" builtinId="8" hidden="1"/>
    <cellStyle name="Hiperlink" xfId="380" builtinId="8" hidden="1"/>
    <cellStyle name="Hiperlink" xfId="382" builtinId="8" hidden="1"/>
    <cellStyle name="Hiperlink" xfId="384" builtinId="8" hidden="1"/>
    <cellStyle name="Hiperlink" xfId="386" builtinId="8" hidden="1"/>
    <cellStyle name="Hiperlink" xfId="388" builtinId="8" hidden="1"/>
    <cellStyle name="Hiperlink" xfId="390" builtinId="8" hidden="1"/>
    <cellStyle name="Hiperlink" xfId="392" builtinId="8" hidden="1"/>
    <cellStyle name="Hiperlink" xfId="394" builtinId="8" hidden="1"/>
    <cellStyle name="Hiperlink" xfId="396" builtinId="8" hidden="1"/>
    <cellStyle name="Hiperlink" xfId="398" builtinId="8" hidden="1"/>
    <cellStyle name="Hiperlink" xfId="400" builtinId="8" hidden="1"/>
    <cellStyle name="Hiperlink" xfId="402" builtinId="8" hidden="1"/>
    <cellStyle name="Hiperlink Visitado" xfId="4" builtinId="9" hidden="1"/>
    <cellStyle name="Hiperlink Visitado" xfId="6" builtinId="9" hidden="1"/>
    <cellStyle name="Hiperlink Visitado" xfId="8" builtinId="9" hidden="1"/>
    <cellStyle name="Hiperlink Visitado" xfId="10" builtinId="9" hidden="1"/>
    <cellStyle name="Hiperlink Visitado" xfId="12" builtinId="9" hidden="1"/>
    <cellStyle name="Hiperlink Visitado" xfId="14" builtinId="9" hidden="1"/>
    <cellStyle name="Hiperlink Visitado" xfId="16" builtinId="9" hidden="1"/>
    <cellStyle name="Hiperlink Visitado" xfId="18" builtinId="9" hidden="1"/>
    <cellStyle name="Hiperlink Visitado" xfId="20" builtinId="9" hidden="1"/>
    <cellStyle name="Hiperlink Visitado" xfId="22" builtinId="9" hidden="1"/>
    <cellStyle name="Hiperlink Visitado" xfId="24" builtinId="9" hidden="1"/>
    <cellStyle name="Hiperlink Visitado" xfId="26" builtinId="9" hidden="1"/>
    <cellStyle name="Hiperlink Visitado" xfId="28" builtinId="9" hidden="1"/>
    <cellStyle name="Hiperlink Visitado" xfId="30" builtinId="9" hidden="1"/>
    <cellStyle name="Hiperlink Visitado" xfId="32" builtinId="9" hidden="1"/>
    <cellStyle name="Hiperlink Visitado" xfId="34" builtinId="9" hidden="1"/>
    <cellStyle name="Hiperlink Visitado" xfId="36" builtinId="9" hidden="1"/>
    <cellStyle name="Hiperlink Visitado" xfId="38" builtinId="9" hidden="1"/>
    <cellStyle name="Hiperlink Visitado" xfId="40" builtinId="9" hidden="1"/>
    <cellStyle name="Hiperlink Visitado" xfId="42" builtinId="9" hidden="1"/>
    <cellStyle name="Hiperlink Visitado" xfId="44" builtinId="9" hidden="1"/>
    <cellStyle name="Hiperlink Visitado" xfId="46" builtinId="9" hidden="1"/>
    <cellStyle name="Hiperlink Visitado" xfId="48" builtinId="9" hidden="1"/>
    <cellStyle name="Hiperlink Visitado" xfId="50" builtinId="9" hidden="1"/>
    <cellStyle name="Hiperlink Visitado" xfId="52" builtinId="9" hidden="1"/>
    <cellStyle name="Hiperlink Visitado" xfId="54" builtinId="9" hidden="1"/>
    <cellStyle name="Hiperlink Visitado" xfId="56" builtinId="9" hidden="1"/>
    <cellStyle name="Hiperlink Visitado" xfId="58" builtinId="9" hidden="1"/>
    <cellStyle name="Hiperlink Visitado" xfId="60" builtinId="9" hidden="1"/>
    <cellStyle name="Hiperlink Visitado" xfId="62" builtinId="9" hidden="1"/>
    <cellStyle name="Hiperlink Visitado" xfId="64" builtinId="9" hidden="1"/>
    <cellStyle name="Hiperlink Visitado" xfId="66" builtinId="9" hidden="1"/>
    <cellStyle name="Hiperlink Visitado" xfId="68" builtinId="9" hidden="1"/>
    <cellStyle name="Hiperlink Visitado" xfId="70" builtinId="9" hidden="1"/>
    <cellStyle name="Hiperlink Visitado" xfId="72" builtinId="9" hidden="1"/>
    <cellStyle name="Hiperlink Visitado" xfId="74" builtinId="9" hidden="1"/>
    <cellStyle name="Hiperlink Visitado" xfId="76" builtinId="9" hidden="1"/>
    <cellStyle name="Hiperlink Visitado" xfId="78" builtinId="9" hidden="1"/>
    <cellStyle name="Hiperlink Visitado" xfId="80" builtinId="9" hidden="1"/>
    <cellStyle name="Hiperlink Visitado" xfId="82" builtinId="9" hidden="1"/>
    <cellStyle name="Hiperlink Visitado" xfId="84" builtinId="9" hidden="1"/>
    <cellStyle name="Hiperlink Visitado" xfId="86" builtinId="9" hidden="1"/>
    <cellStyle name="Hiperlink Visitado" xfId="88" builtinId="9" hidden="1"/>
    <cellStyle name="Hiperlink Visitado" xfId="90" builtinId="9" hidden="1"/>
    <cellStyle name="Hiperlink Visitado" xfId="92" builtinId="9" hidden="1"/>
    <cellStyle name="Hiperlink Visitado" xfId="94" builtinId="9" hidden="1"/>
    <cellStyle name="Hiperlink Visitado" xfId="96" builtinId="9" hidden="1"/>
    <cellStyle name="Hiperlink Visitado" xfId="98" builtinId="9" hidden="1"/>
    <cellStyle name="Hiperlink Visitado" xfId="100" builtinId="9" hidden="1"/>
    <cellStyle name="Hiperlink Visitado" xfId="102" builtinId="9" hidden="1"/>
    <cellStyle name="Hiperlink Visitado" xfId="104" builtinId="9" hidden="1"/>
    <cellStyle name="Hiperlink Visitado" xfId="106" builtinId="9" hidden="1"/>
    <cellStyle name="Hiperlink Visitado" xfId="108" builtinId="9" hidden="1"/>
    <cellStyle name="Hiperlink Visitado" xfId="110" builtinId="9" hidden="1"/>
    <cellStyle name="Hiperlink Visitado" xfId="112" builtinId="9" hidden="1"/>
    <cellStyle name="Hiperlink Visitado" xfId="114" builtinId="9" hidden="1"/>
    <cellStyle name="Hiperlink Visitado" xfId="116" builtinId="9" hidden="1"/>
    <cellStyle name="Hiperlink Visitado" xfId="118" builtinId="9" hidden="1"/>
    <cellStyle name="Hiperlink Visitado" xfId="120" builtinId="9" hidden="1"/>
    <cellStyle name="Hiperlink Visitado" xfId="122" builtinId="9" hidden="1"/>
    <cellStyle name="Hiperlink Visitado" xfId="124" builtinId="9" hidden="1"/>
    <cellStyle name="Hiperlink Visitado" xfId="126" builtinId="9" hidden="1"/>
    <cellStyle name="Hiperlink Visitado" xfId="128" builtinId="9" hidden="1"/>
    <cellStyle name="Hiperlink Visitado" xfId="130" builtinId="9" hidden="1"/>
    <cellStyle name="Hiperlink Visitado" xfId="132" builtinId="9" hidden="1"/>
    <cellStyle name="Hiperlink Visitado" xfId="134" builtinId="9" hidden="1"/>
    <cellStyle name="Hiperlink Visitado" xfId="136" builtinId="9" hidden="1"/>
    <cellStyle name="Hiperlink Visitado" xfId="138" builtinId="9" hidden="1"/>
    <cellStyle name="Hiperlink Visitado" xfId="140" builtinId="9" hidden="1"/>
    <cellStyle name="Hiperlink Visitado" xfId="142" builtinId="9" hidden="1"/>
    <cellStyle name="Hiperlink Visitado" xfId="144" builtinId="9" hidden="1"/>
    <cellStyle name="Hiperlink Visitado" xfId="146" builtinId="9" hidden="1"/>
    <cellStyle name="Hiperlink Visitado" xfId="148" builtinId="9" hidden="1"/>
    <cellStyle name="Hiperlink Visitado" xfId="150" builtinId="9" hidden="1"/>
    <cellStyle name="Hiperlink Visitado" xfId="152" builtinId="9" hidden="1"/>
    <cellStyle name="Hiperlink Visitado" xfId="154" builtinId="9" hidden="1"/>
    <cellStyle name="Hiperlink Visitado" xfId="156" builtinId="9" hidden="1"/>
    <cellStyle name="Hiperlink Visitado" xfId="158" builtinId="9" hidden="1"/>
    <cellStyle name="Hiperlink Visitado" xfId="160" builtinId="9" hidden="1"/>
    <cellStyle name="Hiperlink Visitado" xfId="162" builtinId="9" hidden="1"/>
    <cellStyle name="Hiperlink Visitado" xfId="164" builtinId="9" hidden="1"/>
    <cellStyle name="Hiperlink Visitado" xfId="166" builtinId="9" hidden="1"/>
    <cellStyle name="Hiperlink Visitado" xfId="168" builtinId="9" hidden="1"/>
    <cellStyle name="Hiperlink Visitado" xfId="170" builtinId="9" hidden="1"/>
    <cellStyle name="Hiperlink Visitado" xfId="172" builtinId="9" hidden="1"/>
    <cellStyle name="Hiperlink Visitado" xfId="174" builtinId="9" hidden="1"/>
    <cellStyle name="Hiperlink Visitado" xfId="176" builtinId="9" hidden="1"/>
    <cellStyle name="Hiperlink Visitado" xfId="178" builtinId="9" hidden="1"/>
    <cellStyle name="Hiperlink Visitado" xfId="180" builtinId="9" hidden="1"/>
    <cellStyle name="Hiperlink Visitado" xfId="182" builtinId="9" hidden="1"/>
    <cellStyle name="Hiperlink Visitado" xfId="184" builtinId="9" hidden="1"/>
    <cellStyle name="Hiperlink Visitado" xfId="186" builtinId="9" hidden="1"/>
    <cellStyle name="Hiperlink Visitado" xfId="188" builtinId="9" hidden="1"/>
    <cellStyle name="Hiperlink Visitado" xfId="190" builtinId="9" hidden="1"/>
    <cellStyle name="Hiperlink Visitado" xfId="192" builtinId="9" hidden="1"/>
    <cellStyle name="Hiperlink Visitado" xfId="194" builtinId="9" hidden="1"/>
    <cellStyle name="Hiperlink Visitado" xfId="196" builtinId="9" hidden="1"/>
    <cellStyle name="Hiperlink Visitado" xfId="198" builtinId="9" hidden="1"/>
    <cellStyle name="Hiperlink Visitado" xfId="200" builtinId="9" hidden="1"/>
    <cellStyle name="Hiperlink Visitado" xfId="202" builtinId="9" hidden="1"/>
    <cellStyle name="Hiperlink Visitado" xfId="204" builtinId="9" hidden="1"/>
    <cellStyle name="Hiperlink Visitado" xfId="206" builtinId="9" hidden="1"/>
    <cellStyle name="Hiperlink Visitado" xfId="208" builtinId="9" hidden="1"/>
    <cellStyle name="Hiperlink Visitado" xfId="210" builtinId="9" hidden="1"/>
    <cellStyle name="Hiperlink Visitado" xfId="212" builtinId="9" hidden="1"/>
    <cellStyle name="Hiperlink Visitado" xfId="214" builtinId="9" hidden="1"/>
    <cellStyle name="Hiperlink Visitado" xfId="217" builtinId="9" hidden="1"/>
    <cellStyle name="Hiperlink Visitado" xfId="219" builtinId="9" hidden="1"/>
    <cellStyle name="Hiperlink Visitado" xfId="221" builtinId="9" hidden="1"/>
    <cellStyle name="Hiperlink Visitado" xfId="223" builtinId="9" hidden="1"/>
    <cellStyle name="Hiperlink Visitado" xfId="225" builtinId="9" hidden="1"/>
    <cellStyle name="Hiperlink Visitado" xfId="227" builtinId="9" hidden="1"/>
    <cellStyle name="Hiperlink Visitado" xfId="229" builtinId="9" hidden="1"/>
    <cellStyle name="Hiperlink Visitado" xfId="231" builtinId="9" hidden="1"/>
    <cellStyle name="Hiperlink Visitado" xfId="233" builtinId="9" hidden="1"/>
    <cellStyle name="Hiperlink Visitado" xfId="235" builtinId="9" hidden="1"/>
    <cellStyle name="Hiperlink Visitado" xfId="237" builtinId="9" hidden="1"/>
    <cellStyle name="Hiperlink Visitado" xfId="239" builtinId="9" hidden="1"/>
    <cellStyle name="Hiperlink Visitado" xfId="241" builtinId="9" hidden="1"/>
    <cellStyle name="Hiperlink Visitado" xfId="243" builtinId="9" hidden="1"/>
    <cellStyle name="Hiperlink Visitado" xfId="245" builtinId="9" hidden="1"/>
    <cellStyle name="Hiperlink Visitado" xfId="247" builtinId="9" hidden="1"/>
    <cellStyle name="Hiperlink Visitado" xfId="249" builtinId="9" hidden="1"/>
    <cellStyle name="Hiperlink Visitado" xfId="251" builtinId="9" hidden="1"/>
    <cellStyle name="Hiperlink Visitado" xfId="253" builtinId="9" hidden="1"/>
    <cellStyle name="Hiperlink Visitado" xfId="255" builtinId="9" hidden="1"/>
    <cellStyle name="Hiperlink Visitado" xfId="257" builtinId="9" hidden="1"/>
    <cellStyle name="Hiperlink Visitado" xfId="259" builtinId="9" hidden="1"/>
    <cellStyle name="Hiperlink Visitado" xfId="261" builtinId="9" hidden="1"/>
    <cellStyle name="Hiperlink Visitado" xfId="263" builtinId="9" hidden="1"/>
    <cellStyle name="Hiperlink Visitado" xfId="265" builtinId="9" hidden="1"/>
    <cellStyle name="Hiperlink Visitado" xfId="267" builtinId="9" hidden="1"/>
    <cellStyle name="Hiperlink Visitado" xfId="269" builtinId="9" hidden="1"/>
    <cellStyle name="Hiperlink Visitado" xfId="271" builtinId="9" hidden="1"/>
    <cellStyle name="Hiperlink Visitado" xfId="273" builtinId="9" hidden="1"/>
    <cellStyle name="Hiperlink Visitado" xfId="275" builtinId="9" hidden="1"/>
    <cellStyle name="Hiperlink Visitado" xfId="277" builtinId="9" hidden="1"/>
    <cellStyle name="Hiperlink Visitado" xfId="279" builtinId="9" hidden="1"/>
    <cellStyle name="Hiperlink Visitado" xfId="281" builtinId="9" hidden="1"/>
    <cellStyle name="Hiperlink Visitado" xfId="283" builtinId="9" hidden="1"/>
    <cellStyle name="Hiperlink Visitado" xfId="285" builtinId="9" hidden="1"/>
    <cellStyle name="Hiperlink Visitado" xfId="287" builtinId="9" hidden="1"/>
    <cellStyle name="Hiperlink Visitado" xfId="289" builtinId="9" hidden="1"/>
    <cellStyle name="Hiperlink Visitado" xfId="291" builtinId="9" hidden="1"/>
    <cellStyle name="Hiperlink Visitado" xfId="293" builtinId="9" hidden="1"/>
    <cellStyle name="Hiperlink Visitado" xfId="295" builtinId="9" hidden="1"/>
    <cellStyle name="Hiperlink Visitado" xfId="297" builtinId="9" hidden="1"/>
    <cellStyle name="Hiperlink Visitado" xfId="299" builtinId="9" hidden="1"/>
    <cellStyle name="Hiperlink Visitado" xfId="301" builtinId="9" hidden="1"/>
    <cellStyle name="Hiperlink Visitado" xfId="303" builtinId="9" hidden="1"/>
    <cellStyle name="Hiperlink Visitado" xfId="305" builtinId="9" hidden="1"/>
    <cellStyle name="Hiperlink Visitado" xfId="307" builtinId="9" hidden="1"/>
    <cellStyle name="Hiperlink Visitado" xfId="309" builtinId="9" hidden="1"/>
    <cellStyle name="Hiperlink Visitado" xfId="311" builtinId="9" hidden="1"/>
    <cellStyle name="Hiperlink Visitado" xfId="313" builtinId="9" hidden="1"/>
    <cellStyle name="Hiperlink Visitado" xfId="315" builtinId="9" hidden="1"/>
    <cellStyle name="Hiperlink Visitado" xfId="317" builtinId="9" hidden="1"/>
    <cellStyle name="Hiperlink Visitado" xfId="319" builtinId="9" hidden="1"/>
    <cellStyle name="Hiperlink Visitado" xfId="321" builtinId="9" hidden="1"/>
    <cellStyle name="Hiperlink Visitado" xfId="323" builtinId="9" hidden="1"/>
    <cellStyle name="Hiperlink Visitado" xfId="325" builtinId="9" hidden="1"/>
    <cellStyle name="Hiperlink Visitado" xfId="327" builtinId="9" hidden="1"/>
    <cellStyle name="Hiperlink Visitado" xfId="329" builtinId="9" hidden="1"/>
    <cellStyle name="Hiperlink Visitado" xfId="331" builtinId="9" hidden="1"/>
    <cellStyle name="Hiperlink Visitado" xfId="333" builtinId="9" hidden="1"/>
    <cellStyle name="Hiperlink Visitado" xfId="335" builtinId="9" hidden="1"/>
    <cellStyle name="Hiperlink Visitado" xfId="337" builtinId="9" hidden="1"/>
    <cellStyle name="Hiperlink Visitado" xfId="339" builtinId="9" hidden="1"/>
    <cellStyle name="Hiperlink Visitado" xfId="341" builtinId="9" hidden="1"/>
    <cellStyle name="Hiperlink Visitado" xfId="343" builtinId="9" hidden="1"/>
    <cellStyle name="Hiperlink Visitado" xfId="345" builtinId="9" hidden="1"/>
    <cellStyle name="Hiperlink Visitado" xfId="347" builtinId="9" hidden="1"/>
    <cellStyle name="Hiperlink Visitado" xfId="349" builtinId="9" hidden="1"/>
    <cellStyle name="Hiperlink Visitado" xfId="351" builtinId="9" hidden="1"/>
    <cellStyle name="Hiperlink Visitado" xfId="353" builtinId="9" hidden="1"/>
    <cellStyle name="Hiperlink Visitado" xfId="355" builtinId="9" hidden="1"/>
    <cellStyle name="Hiperlink Visitado" xfId="357" builtinId="9" hidden="1"/>
    <cellStyle name="Hiperlink Visitado" xfId="359" builtinId="9" hidden="1"/>
    <cellStyle name="Hiperlink Visitado" xfId="361" builtinId="9" hidden="1"/>
    <cellStyle name="Hiperlink Visitado" xfId="363" builtinId="9" hidden="1"/>
    <cellStyle name="Hiperlink Visitado" xfId="365" builtinId="9" hidden="1"/>
    <cellStyle name="Hiperlink Visitado" xfId="367" builtinId="9" hidden="1"/>
    <cellStyle name="Hiperlink Visitado" xfId="369" builtinId="9" hidden="1"/>
    <cellStyle name="Hiperlink Visitado" xfId="371" builtinId="9" hidden="1"/>
    <cellStyle name="Hiperlink Visitado" xfId="373" builtinId="9" hidden="1"/>
    <cellStyle name="Hiperlink Visitado" xfId="375" builtinId="9" hidden="1"/>
    <cellStyle name="Hiperlink Visitado" xfId="377" builtinId="9" hidden="1"/>
    <cellStyle name="Hiperlink Visitado" xfId="379" builtinId="9" hidden="1"/>
    <cellStyle name="Hiperlink Visitado" xfId="381" builtinId="9" hidden="1"/>
    <cellStyle name="Hiperlink Visitado" xfId="383" builtinId="9" hidden="1"/>
    <cellStyle name="Hiperlink Visitado" xfId="385" builtinId="9" hidden="1"/>
    <cellStyle name="Hiperlink Visitado" xfId="387" builtinId="9" hidden="1"/>
    <cellStyle name="Hiperlink Visitado" xfId="389" builtinId="9" hidden="1"/>
    <cellStyle name="Hiperlink Visitado" xfId="391" builtinId="9" hidden="1"/>
    <cellStyle name="Hiperlink Visitado" xfId="393" builtinId="9" hidden="1"/>
    <cellStyle name="Hiperlink Visitado" xfId="395" builtinId="9" hidden="1"/>
    <cellStyle name="Hiperlink Visitado" xfId="397" builtinId="9" hidden="1"/>
    <cellStyle name="Hiperlink Visitado" xfId="399" builtinId="9" hidden="1"/>
    <cellStyle name="Hiperlink Visitado" xfId="401" builtinId="9" hidden="1"/>
    <cellStyle name="Hiperlink Visitado" xfId="403" builtinId="9" hidden="1"/>
    <cellStyle name="Moeda" xfId="215" builtinId="4"/>
    <cellStyle name="Normal" xfId="0" builtinId="0"/>
    <cellStyle name="Porcentagem" xfId="1" builtinId="5"/>
    <cellStyle name="Vírgula" xfId="2" builtinId="3"/>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2625943383375"/>
          <c:y val="4.1533546325878599E-2"/>
          <c:w val="0.79969968311887796"/>
          <c:h val="0.87748685567658702"/>
        </c:manualLayout>
      </c:layout>
      <c:scatterChart>
        <c:scatterStyle val="lineMarker"/>
        <c:varyColors val="0"/>
        <c:ser>
          <c:idx val="0"/>
          <c:order val="0"/>
          <c:tx>
            <c:v>Real</c:v>
          </c:tx>
          <c:spPr>
            <a:ln w="3175" cmpd="sng">
              <a:solidFill>
                <a:schemeClr val="tx1"/>
              </a:solidFill>
            </a:ln>
          </c:spPr>
          <c:marker>
            <c:symbol val="circle"/>
            <c:size val="6"/>
            <c:spPr>
              <a:noFill/>
              <a:ln>
                <a:solidFill>
                  <a:schemeClr val="tx1"/>
                </a:solidFill>
              </a:ln>
            </c:spPr>
          </c:marker>
          <c:xVal>
            <c:numRef>
              <c:f>'Capítulo 2'!$A$743:$A$752</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xVal>
          <c:yVal>
            <c:numRef>
              <c:f>'Capítulo 2'!$B$743:$B$752</c:f>
              <c:numCache>
                <c:formatCode>General</c:formatCode>
                <c:ptCount val="10"/>
                <c:pt idx="0" formatCode="0.0000">
                  <c:v>2153.2914000000001</c:v>
                </c:pt>
                <c:pt idx="1">
                  <c:v>2082.9223999999999</c:v>
                </c:pt>
                <c:pt idx="2">
                  <c:v>2012.5534</c:v>
                </c:pt>
                <c:pt idx="3">
                  <c:v>2075.8854999999999</c:v>
                </c:pt>
                <c:pt idx="4">
                  <c:v>2153.2914000000001</c:v>
                </c:pt>
                <c:pt idx="5">
                  <c:v>2237.7341999999999</c:v>
                </c:pt>
                <c:pt idx="6">
                  <c:v>2301.0663</c:v>
                </c:pt>
                <c:pt idx="7">
                  <c:v>2329.2139000000002</c:v>
                </c:pt>
                <c:pt idx="8">
                  <c:v>2364.3984</c:v>
                </c:pt>
                <c:pt idx="9">
                  <c:v>2505.1363999999999</c:v>
                </c:pt>
              </c:numCache>
            </c:numRef>
          </c:yVal>
          <c:smooth val="0"/>
          <c:extLst>
            <c:ext xmlns:c16="http://schemas.microsoft.com/office/drawing/2014/chart" uri="{C3380CC4-5D6E-409C-BE32-E72D297353CC}">
              <c16:uniqueId val="{00000000-3C57-4E88-B1F3-6BC9FF8A049D}"/>
            </c:ext>
          </c:extLst>
        </c:ser>
        <c:ser>
          <c:idx val="1"/>
          <c:order val="1"/>
          <c:tx>
            <c:v>Crescimento</c:v>
          </c:tx>
          <c:spPr>
            <a:ln w="47625">
              <a:noFill/>
            </a:ln>
          </c:spPr>
          <c:marker>
            <c:symbol val="triangle"/>
            <c:size val="6"/>
            <c:spPr>
              <a:solidFill>
                <a:srgbClr val="FF0000"/>
              </a:solidFill>
              <a:ln>
                <a:solidFill>
                  <a:srgbClr val="FF0000"/>
                </a:solidFill>
              </a:ln>
            </c:spPr>
          </c:marker>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C57-4E88-B1F3-6BC9FF8A049D}"/>
                </c:ext>
              </c:extLst>
            </c:dLbl>
            <c:spPr>
              <a:noFill/>
              <a:ln>
                <a:noFill/>
              </a:ln>
              <a:effectLst/>
            </c:spPr>
            <c:txPr>
              <a:bodyPr/>
              <a:lstStyle/>
              <a:p>
                <a:pPr>
                  <a:defRPr b="1">
                    <a:solidFill>
                      <a:srgbClr val="FF0000"/>
                    </a:solidFill>
                  </a:defRPr>
                </a:pPr>
                <a:endParaRPr lang="pt-BR"/>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'Capítulo 2'!$A$767:$A$776</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xVal>
          <c:yVal>
            <c:numRef>
              <c:f>'Capítulo 2'!$F$767:$F$776</c:f>
              <c:numCache>
                <c:formatCode>0.0000</c:formatCode>
                <c:ptCount val="10"/>
                <c:pt idx="0">
                  <c:v>2588.4419737735388</c:v>
                </c:pt>
                <c:pt idx="1">
                  <c:v>2680.9723068496091</c:v>
                </c:pt>
                <c:pt idx="2">
                  <c:v>2782.0541556657959</c:v>
                </c:pt>
                <c:pt idx="3">
                  <c:v>2892.2557505716054</c:v>
                </c:pt>
                <c:pt idx="4">
                  <c:v>3012.1835540545389</c:v>
                </c:pt>
                <c:pt idx="5">
                  <c:v>3142.4849699936999</c:v>
                </c:pt>
                <c:pt idx="6">
                  <c:v>3283.8512536447811</c:v>
                </c:pt>
                <c:pt idx="7">
                  <c:v>3437.0206376910919</c:v>
                </c:pt>
                <c:pt idx="8">
                  <c:v>3602.7816908893933</c:v>
                </c:pt>
                <c:pt idx="9">
                  <c:v>3781.9769271275595</c:v>
                </c:pt>
              </c:numCache>
            </c:numRef>
          </c:yVal>
          <c:smooth val="0"/>
          <c:extLst>
            <c:ext xmlns:c16="http://schemas.microsoft.com/office/drawing/2014/chart" uri="{C3380CC4-5D6E-409C-BE32-E72D297353CC}">
              <c16:uniqueId val="{00000002-3C57-4E88-B1F3-6BC9FF8A049D}"/>
            </c:ext>
          </c:extLst>
        </c:ser>
        <c:ser>
          <c:idx val="2"/>
          <c:order val="2"/>
          <c:tx>
            <c:v>Caso Base</c:v>
          </c:tx>
          <c:spPr>
            <a:ln w="47625">
              <a:noFill/>
            </a:ln>
          </c:spPr>
          <c:marker>
            <c:symbol val="circle"/>
            <c:size val="6"/>
            <c:spPr>
              <a:solidFill>
                <a:srgbClr val="008000"/>
              </a:solidFill>
              <a:ln>
                <a:solidFill>
                  <a:srgbClr val="008000"/>
                </a:solidFill>
              </a:ln>
            </c:spPr>
          </c:marker>
          <c:dLbls>
            <c:dLbl>
              <c:idx val="1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C57-4E88-B1F3-6BC9FF8A049D}"/>
                </c:ext>
              </c:extLst>
            </c:dLbl>
            <c:spPr>
              <a:noFill/>
              <a:ln>
                <a:noFill/>
              </a:ln>
              <a:effectLst/>
            </c:spPr>
            <c:txPr>
              <a:bodyPr/>
              <a:lstStyle/>
              <a:p>
                <a:pPr>
                  <a:defRPr b="1">
                    <a:solidFill>
                      <a:srgbClr val="008000"/>
                    </a:solidFill>
                  </a:defRPr>
                </a:pPr>
                <a:endParaRPr lang="pt-BR"/>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'Capítulo 2'!$A$757:$A$776</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xVal>
          <c:yVal>
            <c:numRef>
              <c:f>'Capítulo 2'!$B$757:$B$776</c:f>
              <c:numCache>
                <c:formatCode>0.0000</c:formatCode>
                <c:ptCount val="20"/>
                <c:pt idx="0">
                  <c:v>2098.8070629716826</c:v>
                </c:pt>
                <c:pt idx="1">
                  <c:v>2115.8025384730913</c:v>
                </c:pt>
                <c:pt idx="2">
                  <c:v>2050.9815124131164</c:v>
                </c:pt>
                <c:pt idx="3">
                  <c:v>2114.1993796493889</c:v>
                </c:pt>
                <c:pt idx="4">
                  <c:v>2138.9435989809022</c:v>
                </c:pt>
                <c:pt idx="5">
                  <c:v>2183.4492385524804</c:v>
                </c:pt>
                <c:pt idx="6">
                  <c:v>2283.0770162811687</c:v>
                </c:pt>
                <c:pt idx="7">
                  <c:v>2378.6105447912819</c:v>
                </c:pt>
                <c:pt idx="8">
                  <c:v>2347.6917724080149</c:v>
                </c:pt>
                <c:pt idx="9">
                  <c:v>2503.9306354762298</c:v>
                </c:pt>
                <c:pt idx="10">
                  <c:v>2534.9260737910304</c:v>
                </c:pt>
                <c:pt idx="11">
                  <c:v>2568.6389560049988</c:v>
                </c:pt>
                <c:pt idx="12">
                  <c:v>2605.1929957247644</c:v>
                </c:pt>
                <c:pt idx="13">
                  <c:v>2644.7172584093701</c:v>
                </c:pt>
                <c:pt idx="14">
                  <c:v>2687.3464001884558</c:v>
                </c:pt>
                <c:pt idx="15">
                  <c:v>2733.2209177559521</c:v>
                </c:pt>
                <c:pt idx="16">
                  <c:v>2782.4874098682035</c:v>
                </c:pt>
                <c:pt idx="17">
                  <c:v>2835.2988510011201</c:v>
                </c:pt>
                <c:pt idx="18">
                  <c:v>2891.8148777480155</c:v>
                </c:pt>
                <c:pt idx="19">
                  <c:v>2952.2020885681004</c:v>
                </c:pt>
              </c:numCache>
            </c:numRef>
          </c:yVal>
          <c:smooth val="0"/>
          <c:extLst>
            <c:ext xmlns:c16="http://schemas.microsoft.com/office/drawing/2014/chart" uri="{C3380CC4-5D6E-409C-BE32-E72D297353CC}">
              <c16:uniqueId val="{00000004-3C57-4E88-B1F3-6BC9FF8A049D}"/>
            </c:ext>
          </c:extLst>
        </c:ser>
        <c:ser>
          <c:idx val="3"/>
          <c:order val="3"/>
          <c:tx>
            <c:v>Estagnação</c:v>
          </c:tx>
          <c:spPr>
            <a:ln w="47625">
              <a:noFill/>
            </a:ln>
          </c:spPr>
          <c:marker>
            <c:symbol val="x"/>
            <c:size val="6"/>
            <c:spPr>
              <a:ln>
                <a:solidFill>
                  <a:srgbClr val="3366FF"/>
                </a:solidFill>
              </a:ln>
            </c:spPr>
          </c:marker>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C57-4E88-B1F3-6BC9FF8A049D}"/>
                </c:ext>
              </c:extLst>
            </c:dLbl>
            <c:spPr>
              <a:noFill/>
              <a:ln>
                <a:noFill/>
              </a:ln>
              <a:effectLst/>
            </c:spPr>
            <c:txPr>
              <a:bodyPr/>
              <a:lstStyle/>
              <a:p>
                <a:pPr>
                  <a:defRPr b="1">
                    <a:solidFill>
                      <a:srgbClr val="3366FF"/>
                    </a:solidFill>
                  </a:defRPr>
                </a:pPr>
                <a:endParaRPr lang="pt-BR"/>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'Capítulo 2'!$A$767:$A$776</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xVal>
          <c:yVal>
            <c:numRef>
              <c:f>'Capítulo 2'!$J$767:$J$776</c:f>
              <c:numCache>
                <c:formatCode>0.0000</c:formatCode>
                <c:ptCount val="10"/>
                <c:pt idx="0">
                  <c:v>2497.5402739353158</c:v>
                </c:pt>
                <c:pt idx="1">
                  <c:v>2491.6650972972343</c:v>
                </c:pt>
                <c:pt idx="2">
                  <c:v>2486.3232320738398</c:v>
                </c:pt>
                <c:pt idx="3">
                  <c:v>2481.5332742831802</c:v>
                </c:pt>
                <c:pt idx="4">
                  <c:v>2477.3143005808515</c:v>
                </c:pt>
                <c:pt idx="5">
                  <c:v>2473.6858796480324</c:v>
                </c:pt>
                <c:pt idx="6">
                  <c:v>2470.6680838420971</c:v>
                </c:pt>
                <c:pt idx="7">
                  <c:v>2468.2815011158341</c:v>
                </c:pt>
                <c:pt idx="8">
                  <c:v>2466.5472472114338</c:v>
                </c:pt>
                <c:pt idx="9">
                  <c:v>2465.4869781355865</c:v>
                </c:pt>
              </c:numCache>
            </c:numRef>
          </c:yVal>
          <c:smooth val="0"/>
          <c:extLst>
            <c:ext xmlns:c16="http://schemas.microsoft.com/office/drawing/2014/chart" uri="{C3380CC4-5D6E-409C-BE32-E72D297353CC}">
              <c16:uniqueId val="{00000006-3C57-4E88-B1F3-6BC9FF8A049D}"/>
            </c:ext>
          </c:extLst>
        </c:ser>
        <c:dLbls>
          <c:showLegendKey val="0"/>
          <c:showVal val="0"/>
          <c:showCatName val="0"/>
          <c:showSerName val="0"/>
          <c:showPercent val="0"/>
          <c:showBubbleSize val="0"/>
        </c:dLbls>
        <c:axId val="154263408"/>
        <c:axId val="154263800"/>
      </c:scatterChart>
      <c:valAx>
        <c:axId val="154263408"/>
        <c:scaling>
          <c:orientation val="minMax"/>
          <c:max val="2020"/>
          <c:min val="2000"/>
        </c:scaling>
        <c:delete val="0"/>
        <c:axPos val="b"/>
        <c:title>
          <c:tx>
            <c:rich>
              <a:bodyPr/>
              <a:lstStyle/>
              <a:p>
                <a:pPr>
                  <a:defRPr sz="1200"/>
                </a:pPr>
                <a:r>
                  <a:rPr lang="en-US" sz="1200"/>
                  <a:t>Ano</a:t>
                </a:r>
              </a:p>
            </c:rich>
          </c:tx>
          <c:layout>
            <c:manualLayout>
              <c:xMode val="edge"/>
              <c:yMode val="edge"/>
              <c:x val="0.92011991069713905"/>
              <c:y val="0.88190954773869301"/>
            </c:manualLayout>
          </c:layout>
          <c:overlay val="0"/>
        </c:title>
        <c:numFmt formatCode="General" sourceLinked="1"/>
        <c:majorTickMark val="out"/>
        <c:minorTickMark val="none"/>
        <c:tickLblPos val="nextTo"/>
        <c:txPr>
          <a:bodyPr/>
          <a:lstStyle/>
          <a:p>
            <a:pPr>
              <a:defRPr sz="1200"/>
            </a:pPr>
            <a:endParaRPr lang="pt-BR"/>
          </a:p>
        </c:txPr>
        <c:crossAx val="154263800"/>
        <c:crosses val="autoZero"/>
        <c:crossBetween val="midCat"/>
        <c:minorUnit val="0.4"/>
      </c:valAx>
      <c:valAx>
        <c:axId val="154263800"/>
        <c:scaling>
          <c:orientation val="minMax"/>
          <c:max val="4000"/>
          <c:min val="0"/>
        </c:scaling>
        <c:delete val="0"/>
        <c:axPos val="l"/>
        <c:title>
          <c:tx>
            <c:rich>
              <a:bodyPr rot="-5400000" vert="horz"/>
              <a:lstStyle/>
              <a:p>
                <a:pPr>
                  <a:defRPr sz="1200"/>
                </a:pPr>
                <a:r>
                  <a:rPr lang="en-US" sz="1200"/>
                  <a:t>Consumo</a:t>
                </a:r>
                <a:r>
                  <a:rPr lang="en-US" sz="1200" baseline="0"/>
                  <a:t> [10</a:t>
                </a:r>
                <a:r>
                  <a:rPr lang="en-US" sz="1200" baseline="30000"/>
                  <a:t>3</a:t>
                </a:r>
                <a:r>
                  <a:rPr lang="en-US" sz="1200" baseline="0"/>
                  <a:t> boe/dia]</a:t>
                </a:r>
                <a:endParaRPr lang="en-US" sz="1200"/>
              </a:p>
            </c:rich>
          </c:tx>
          <c:overlay val="0"/>
        </c:title>
        <c:numFmt formatCode="0" sourceLinked="0"/>
        <c:majorTickMark val="out"/>
        <c:minorTickMark val="none"/>
        <c:tickLblPos val="nextTo"/>
        <c:txPr>
          <a:bodyPr/>
          <a:lstStyle/>
          <a:p>
            <a:pPr>
              <a:defRPr sz="1200"/>
            </a:pPr>
            <a:endParaRPr lang="pt-BR"/>
          </a:p>
        </c:txPr>
        <c:crossAx val="154263408"/>
        <c:crosses val="autoZero"/>
        <c:crossBetween val="midCat"/>
        <c:majorUnit val="500"/>
      </c:valAx>
      <c:spPr>
        <a:ln w="3175" cmpd="sng"/>
      </c:spPr>
    </c:plotArea>
    <c:legend>
      <c:legendPos val="r"/>
      <c:layout>
        <c:manualLayout>
          <c:xMode val="edge"/>
          <c:yMode val="edge"/>
          <c:x val="0.16652919147301701"/>
          <c:y val="9.6224033553594698E-2"/>
          <c:w val="0.12663001728442499"/>
          <c:h val="0.201838325485696"/>
        </c:manualLayout>
      </c:layout>
      <c:overlay val="0"/>
    </c:legend>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US" sz="1200"/>
              <a:t>Conteúdo do Recurso Energético Primário - Brasil (2000 a 2010) </a:t>
            </a:r>
          </a:p>
        </c:rich>
      </c:tx>
      <c:overlay val="0"/>
    </c:title>
    <c:autoTitleDeleted val="0"/>
    <c:plotArea>
      <c:layout>
        <c:manualLayout>
          <c:layoutTarget val="inner"/>
          <c:xMode val="edge"/>
          <c:yMode val="edge"/>
          <c:x val="0.112544969836886"/>
          <c:y val="0.10497512437810901"/>
          <c:w val="0.79187052534663505"/>
          <c:h val="0.83197359658400905"/>
        </c:manualLayout>
      </c:layout>
      <c:scatterChart>
        <c:scatterStyle val="smoothMarker"/>
        <c:varyColors val="0"/>
        <c:ser>
          <c:idx val="0"/>
          <c:order val="0"/>
          <c:tx>
            <c:strRef>
              <c:f>'Capítulo 2'!$B$639</c:f>
              <c:strCache>
                <c:ptCount val="1"/>
                <c:pt idx="0">
                  <c:v>Setor Energético</c:v>
                </c:pt>
              </c:strCache>
            </c:strRef>
          </c:tx>
          <c:spPr>
            <a:ln w="3175" cmpd="sng">
              <a:solidFill>
                <a:srgbClr val="FF6600"/>
              </a:solidFill>
            </a:ln>
          </c:spPr>
          <c:marker>
            <c:symbol val="x"/>
            <c:size val="6"/>
            <c:spPr>
              <a:ln>
                <a:solidFill>
                  <a:srgbClr val="FF6600"/>
                </a:solidFill>
              </a:ln>
            </c:spPr>
          </c:marker>
          <c:xVal>
            <c:numRef>
              <c:f>'Capítulo 2'!$A$640:$A$650</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xVal>
          <c:yVal>
            <c:numRef>
              <c:f>'Capítulo 2'!$B$640:$B$650</c:f>
              <c:numCache>
                <c:formatCode>_-* #,##0.0000_-;\-* #,##0.0000_-;_-* "-"??_-;_-@_-</c:formatCode>
                <c:ptCount val="11"/>
                <c:pt idx="0">
                  <c:v>216.9491525423729</c:v>
                </c:pt>
                <c:pt idx="1">
                  <c:v>219.35483870967744</c:v>
                </c:pt>
                <c:pt idx="2">
                  <c:v>225</c:v>
                </c:pt>
                <c:pt idx="3">
                  <c:v>235.82089552238807</c:v>
                </c:pt>
                <c:pt idx="4">
                  <c:v>237.68115942028984</c:v>
                </c:pt>
                <c:pt idx="5">
                  <c:v>244.44444444444446</c:v>
                </c:pt>
                <c:pt idx="6">
                  <c:v>254.05405405405406</c:v>
                </c:pt>
                <c:pt idx="7">
                  <c:v>272.72727272727269</c:v>
                </c:pt>
                <c:pt idx="8">
                  <c:v>298.78048780487802</c:v>
                </c:pt>
                <c:pt idx="9">
                  <c:v>297.5609756097561</c:v>
                </c:pt>
                <c:pt idx="10">
                  <c:v>266.31578947368422</c:v>
                </c:pt>
              </c:numCache>
            </c:numRef>
          </c:yVal>
          <c:smooth val="1"/>
          <c:extLst>
            <c:ext xmlns:c16="http://schemas.microsoft.com/office/drawing/2014/chart" uri="{C3380CC4-5D6E-409C-BE32-E72D297353CC}">
              <c16:uniqueId val="{00000000-3630-411C-B665-72DAC74CE622}"/>
            </c:ext>
          </c:extLst>
        </c:ser>
        <c:ser>
          <c:idx val="2"/>
          <c:order val="1"/>
          <c:tx>
            <c:strRef>
              <c:f>'Capítulo 2'!$D$639</c:f>
              <c:strCache>
                <c:ptCount val="1"/>
                <c:pt idx="0">
                  <c:v>Indústria</c:v>
                </c:pt>
              </c:strCache>
            </c:strRef>
          </c:tx>
          <c:spPr>
            <a:ln w="3175" cmpd="sng">
              <a:solidFill>
                <a:srgbClr val="FF0000"/>
              </a:solidFill>
            </a:ln>
          </c:spPr>
          <c:marker>
            <c:symbol val="triangle"/>
            <c:size val="6"/>
            <c:spPr>
              <a:solidFill>
                <a:srgbClr val="FF0000"/>
              </a:solidFill>
              <a:ln>
                <a:solidFill>
                  <a:srgbClr val="FF0000"/>
                </a:solidFill>
              </a:ln>
            </c:spPr>
          </c:marker>
          <c:xVal>
            <c:numRef>
              <c:f>'Capítulo 2'!$A$640:$A$650</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xVal>
          <c:yVal>
            <c:numRef>
              <c:f>'Capítulo 2'!$D$640:$D$650</c:f>
              <c:numCache>
                <c:formatCode>_-* #,##0.0000_-;\-* #,##0.0000_-;_-* "-"??_-;_-@_-</c:formatCode>
                <c:ptCount val="11"/>
                <c:pt idx="0">
                  <c:v>208.16326530612244</c:v>
                </c:pt>
                <c:pt idx="1">
                  <c:v>202.97029702970298</c:v>
                </c:pt>
                <c:pt idx="2">
                  <c:v>211.65048543689321</c:v>
                </c:pt>
                <c:pt idx="3">
                  <c:v>219.935691318328</c:v>
                </c:pt>
                <c:pt idx="4">
                  <c:v>213.60946745562131</c:v>
                </c:pt>
                <c:pt idx="5">
                  <c:v>214.28571428571428</c:v>
                </c:pt>
                <c:pt idx="6">
                  <c:v>218.80341880341879</c:v>
                </c:pt>
                <c:pt idx="7">
                  <c:v>221.35135135135135</c:v>
                </c:pt>
                <c:pt idx="8">
                  <c:v>213.76623376623377</c:v>
                </c:pt>
                <c:pt idx="9">
                  <c:v>213.40782122905031</c:v>
                </c:pt>
                <c:pt idx="10">
                  <c:v>222.02072538860105</c:v>
                </c:pt>
              </c:numCache>
            </c:numRef>
          </c:yVal>
          <c:smooth val="1"/>
          <c:extLst>
            <c:ext xmlns:c16="http://schemas.microsoft.com/office/drawing/2014/chart" uri="{C3380CC4-5D6E-409C-BE32-E72D297353CC}">
              <c16:uniqueId val="{00000001-3630-411C-B665-72DAC74CE622}"/>
            </c:ext>
          </c:extLst>
        </c:ser>
        <c:ser>
          <c:idx val="3"/>
          <c:order val="2"/>
          <c:tx>
            <c:strRef>
              <c:f>'Capítulo 2'!$E$639</c:f>
              <c:strCache>
                <c:ptCount val="1"/>
                <c:pt idx="0">
                  <c:v>Agropecuário</c:v>
                </c:pt>
              </c:strCache>
            </c:strRef>
          </c:tx>
          <c:spPr>
            <a:ln w="3175" cmpd="sng">
              <a:solidFill>
                <a:srgbClr val="008000"/>
              </a:solidFill>
            </a:ln>
          </c:spPr>
          <c:marker>
            <c:symbol val="circle"/>
            <c:size val="6"/>
            <c:spPr>
              <a:solidFill>
                <a:srgbClr val="008000"/>
              </a:solidFill>
              <a:ln>
                <a:solidFill>
                  <a:srgbClr val="008000"/>
                </a:solidFill>
              </a:ln>
            </c:spPr>
          </c:marker>
          <c:xVal>
            <c:numRef>
              <c:f>'Capítulo 2'!$A$640:$A$650</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xVal>
          <c:yVal>
            <c:numRef>
              <c:f>'Capítulo 2'!$E$640:$E$650</c:f>
              <c:numCache>
                <c:formatCode>_-* #,##0.0000_-;\-* #,##0.0000_-;_-* "-"??_-;_-@_-</c:formatCode>
                <c:ptCount val="11"/>
                <c:pt idx="0">
                  <c:v>101.38888888888889</c:v>
                </c:pt>
                <c:pt idx="1">
                  <c:v>102.66666666666667</c:v>
                </c:pt>
                <c:pt idx="2">
                  <c:v>97.5</c:v>
                </c:pt>
                <c:pt idx="3">
                  <c:v>97.619047619047606</c:v>
                </c:pt>
                <c:pt idx="4">
                  <c:v>96.511627906976742</c:v>
                </c:pt>
                <c:pt idx="5">
                  <c:v>96.551724137931032</c:v>
                </c:pt>
                <c:pt idx="6">
                  <c:v>94.505494505494497</c:v>
                </c:pt>
                <c:pt idx="7">
                  <c:v>95.78947368421052</c:v>
                </c:pt>
                <c:pt idx="8">
                  <c:v>98.019801980198025</c:v>
                </c:pt>
                <c:pt idx="9">
                  <c:v>98.958333333333329</c:v>
                </c:pt>
                <c:pt idx="10">
                  <c:v>96.116504854368941</c:v>
                </c:pt>
              </c:numCache>
            </c:numRef>
          </c:yVal>
          <c:smooth val="1"/>
          <c:extLst>
            <c:ext xmlns:c16="http://schemas.microsoft.com/office/drawing/2014/chart" uri="{C3380CC4-5D6E-409C-BE32-E72D297353CC}">
              <c16:uniqueId val="{00000002-3630-411C-B665-72DAC74CE622}"/>
            </c:ext>
          </c:extLst>
        </c:ser>
        <c:ser>
          <c:idx val="4"/>
          <c:order val="3"/>
          <c:tx>
            <c:strRef>
              <c:f>'Capítulo 2'!$F$639</c:f>
              <c:strCache>
                <c:ptCount val="1"/>
                <c:pt idx="0">
                  <c:v>Transporte</c:v>
                </c:pt>
              </c:strCache>
            </c:strRef>
          </c:tx>
          <c:spPr>
            <a:ln w="3175" cmpd="sng">
              <a:solidFill>
                <a:schemeClr val="accent1"/>
              </a:solidFill>
            </a:ln>
          </c:spPr>
          <c:marker>
            <c:symbol val="square"/>
            <c:size val="6"/>
            <c:spPr>
              <a:solidFill>
                <a:schemeClr val="accent1"/>
              </a:solidFill>
              <a:ln w="3175" cmpd="sng">
                <a:solidFill>
                  <a:schemeClr val="accent1"/>
                </a:solidFill>
              </a:ln>
            </c:spPr>
          </c:marker>
          <c:xVal>
            <c:numRef>
              <c:f>'Capítulo 2'!$A$640:$A$650</c:f>
              <c:numCache>
                <c:formatCode>General</c:formatCode>
                <c:ptCount val="11"/>
                <c:pt idx="0">
                  <c:v>2000</c:v>
                </c:pt>
                <c:pt idx="1">
                  <c:v>2001</c:v>
                </c:pt>
                <c:pt idx="2">
                  <c:v>2002</c:v>
                </c:pt>
                <c:pt idx="3">
                  <c:v>2003</c:v>
                </c:pt>
                <c:pt idx="4">
                  <c:v>2004</c:v>
                </c:pt>
                <c:pt idx="5">
                  <c:v>2005</c:v>
                </c:pt>
                <c:pt idx="6">
                  <c:v>2006</c:v>
                </c:pt>
                <c:pt idx="7">
                  <c:v>2007</c:v>
                </c:pt>
                <c:pt idx="8">
                  <c:v>2008</c:v>
                </c:pt>
                <c:pt idx="9">
                  <c:v>2009</c:v>
                </c:pt>
                <c:pt idx="10">
                  <c:v>2010</c:v>
                </c:pt>
              </c:numCache>
            </c:numRef>
          </c:xVal>
          <c:yVal>
            <c:numRef>
              <c:f>'Capítulo 2'!$F$640:$F$650</c:f>
              <c:numCache>
                <c:formatCode>_-* #,##0.0000_-;\-* #,##0.0000_-;_-* "-"??_-;_-@_-</c:formatCode>
                <c:ptCount val="11"/>
                <c:pt idx="0">
                  <c:v>777.04918032786884</c:v>
                </c:pt>
                <c:pt idx="1">
                  <c:v>746.875</c:v>
                </c:pt>
                <c:pt idx="2">
                  <c:v>745.4545454545455</c:v>
                </c:pt>
                <c:pt idx="3">
                  <c:v>753.125</c:v>
                </c:pt>
                <c:pt idx="4">
                  <c:v>757.35294117647061</c:v>
                </c:pt>
                <c:pt idx="5">
                  <c:v>750</c:v>
                </c:pt>
                <c:pt idx="6">
                  <c:v>750.70422535211264</c:v>
                </c:pt>
                <c:pt idx="7">
                  <c:v>768</c:v>
                </c:pt>
                <c:pt idx="8">
                  <c:v>866.66666666666674</c:v>
                </c:pt>
                <c:pt idx="9">
                  <c:v>803.84615384615392</c:v>
                </c:pt>
                <c:pt idx="10">
                  <c:v>730.52631578947364</c:v>
                </c:pt>
              </c:numCache>
            </c:numRef>
          </c:yVal>
          <c:smooth val="1"/>
          <c:extLst>
            <c:ext xmlns:c16="http://schemas.microsoft.com/office/drawing/2014/chart" uri="{C3380CC4-5D6E-409C-BE32-E72D297353CC}">
              <c16:uniqueId val="{00000003-3630-411C-B665-72DAC74CE622}"/>
            </c:ext>
          </c:extLst>
        </c:ser>
        <c:dLbls>
          <c:showLegendKey val="0"/>
          <c:showVal val="0"/>
          <c:showCatName val="0"/>
          <c:showSerName val="0"/>
          <c:showPercent val="0"/>
          <c:showBubbleSize val="0"/>
        </c:dLbls>
        <c:axId val="151360296"/>
        <c:axId val="151363040"/>
      </c:scatterChart>
      <c:valAx>
        <c:axId val="151360296"/>
        <c:scaling>
          <c:orientation val="minMax"/>
          <c:max val="2010"/>
          <c:min val="2000"/>
        </c:scaling>
        <c:delete val="0"/>
        <c:axPos val="b"/>
        <c:title>
          <c:tx>
            <c:rich>
              <a:bodyPr/>
              <a:lstStyle/>
              <a:p>
                <a:pPr>
                  <a:defRPr sz="1200"/>
                </a:pPr>
                <a:r>
                  <a:rPr lang="en-US" sz="1200"/>
                  <a:t>Ano</a:t>
                </a:r>
              </a:p>
            </c:rich>
          </c:tx>
          <c:layout>
            <c:manualLayout>
              <c:xMode val="edge"/>
              <c:yMode val="edge"/>
              <c:x val="0.92658586524851905"/>
              <c:y val="0.91542288557213902"/>
            </c:manualLayout>
          </c:layout>
          <c:overlay val="0"/>
        </c:title>
        <c:numFmt formatCode="General" sourceLinked="1"/>
        <c:majorTickMark val="out"/>
        <c:minorTickMark val="none"/>
        <c:tickLblPos val="nextTo"/>
        <c:txPr>
          <a:bodyPr/>
          <a:lstStyle/>
          <a:p>
            <a:pPr>
              <a:defRPr sz="1200"/>
            </a:pPr>
            <a:endParaRPr lang="pt-BR"/>
          </a:p>
        </c:txPr>
        <c:crossAx val="151363040"/>
        <c:crosses val="autoZero"/>
        <c:crossBetween val="midCat"/>
      </c:valAx>
      <c:valAx>
        <c:axId val="151363040"/>
        <c:scaling>
          <c:orientation val="minMax"/>
        </c:scaling>
        <c:delete val="0"/>
        <c:axPos val="l"/>
        <c:title>
          <c:tx>
            <c:rich>
              <a:bodyPr rot="-5400000" vert="horz"/>
              <a:lstStyle/>
              <a:p>
                <a:pPr>
                  <a:defRPr sz="1200"/>
                </a:pPr>
                <a:r>
                  <a:rPr lang="en-US" sz="1200"/>
                  <a:t>TEP / 10</a:t>
                </a:r>
                <a:r>
                  <a:rPr lang="en-US" sz="1200" baseline="30000"/>
                  <a:t>3</a:t>
                </a:r>
                <a:r>
                  <a:rPr lang="en-US" sz="1200"/>
                  <a:t> U$ (referência 2010)</a:t>
                </a:r>
              </a:p>
            </c:rich>
          </c:tx>
          <c:overlay val="0"/>
        </c:title>
        <c:numFmt formatCode="#,##0" sourceLinked="0"/>
        <c:majorTickMark val="out"/>
        <c:minorTickMark val="none"/>
        <c:tickLblPos val="nextTo"/>
        <c:txPr>
          <a:bodyPr/>
          <a:lstStyle/>
          <a:p>
            <a:pPr>
              <a:defRPr sz="1200"/>
            </a:pPr>
            <a:endParaRPr lang="pt-BR"/>
          </a:p>
        </c:txPr>
        <c:crossAx val="151360296"/>
        <c:crosses val="autoZero"/>
        <c:crossBetween val="midCat"/>
      </c:valAx>
    </c:plotArea>
    <c:legend>
      <c:legendPos val="r"/>
      <c:layout>
        <c:manualLayout>
          <c:xMode val="edge"/>
          <c:yMode val="edge"/>
          <c:x val="0.11292341729535101"/>
          <c:y val="0.43267207270732899"/>
          <c:w val="0.17328949718981501"/>
          <c:h val="0.19982998393857501"/>
        </c:manualLayout>
      </c:layout>
      <c:overlay val="0"/>
    </c:legend>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Modelo</a:t>
            </a:r>
            <a:r>
              <a:rPr lang="en-US" baseline="0"/>
              <a:t> Econométrico </a:t>
            </a:r>
          </a:p>
          <a:p>
            <a:pPr>
              <a:defRPr/>
            </a:pPr>
            <a:r>
              <a:rPr lang="en-US"/>
              <a:t>Y = log(E/POP)</a:t>
            </a:r>
          </a:p>
          <a:p>
            <a:pPr>
              <a:defRPr/>
            </a:pPr>
            <a:r>
              <a:rPr lang="en-US"/>
              <a:t>X = Y/POP</a:t>
            </a:r>
          </a:p>
        </c:rich>
      </c:tx>
      <c:layout>
        <c:manualLayout>
          <c:xMode val="edge"/>
          <c:yMode val="edge"/>
          <c:x val="0.35961058763267301"/>
          <c:y val="0"/>
        </c:manualLayout>
      </c:layout>
      <c:overlay val="0"/>
    </c:title>
    <c:autoTitleDeleted val="0"/>
    <c:plotArea>
      <c:layout>
        <c:manualLayout>
          <c:layoutTarget val="inner"/>
          <c:xMode val="edge"/>
          <c:yMode val="edge"/>
          <c:x val="0.11040239675033101"/>
          <c:y val="0.103401360544218"/>
          <c:w val="0.86331173240258696"/>
          <c:h val="0.75068794972057096"/>
        </c:manualLayout>
      </c:layout>
      <c:scatterChart>
        <c:scatterStyle val="lineMarker"/>
        <c:varyColors val="0"/>
        <c:ser>
          <c:idx val="0"/>
          <c:order val="0"/>
          <c:tx>
            <c:strRef>
              <c:f>'Capítulo 2'!$A$832</c:f>
              <c:strCache>
                <c:ptCount val="1"/>
                <c:pt idx="0">
                  <c:v>Y = log(E/POP)</c:v>
                </c:pt>
              </c:strCache>
            </c:strRef>
          </c:tx>
          <c:spPr>
            <a:ln w="47625">
              <a:noFill/>
            </a:ln>
          </c:spPr>
          <c:trendline>
            <c:trendlineType val="linear"/>
            <c:dispRSqr val="0"/>
            <c:dispEq val="1"/>
            <c:trendlineLbl>
              <c:layout>
                <c:manualLayout>
                  <c:x val="-0.22656628587084701"/>
                  <c:y val="-0.107195529130287"/>
                </c:manualLayout>
              </c:layout>
              <c:numFmt formatCode="General" sourceLinked="0"/>
              <c:txPr>
                <a:bodyPr/>
                <a:lstStyle/>
                <a:p>
                  <a:pPr>
                    <a:defRPr sz="2000"/>
                  </a:pPr>
                  <a:endParaRPr lang="pt-BR"/>
                </a:p>
              </c:txPr>
            </c:trendlineLbl>
          </c:trendline>
          <c:xVal>
            <c:numRef>
              <c:f>'Capítulo 2'!$D$833:$D$843</c:f>
              <c:numCache>
                <c:formatCode>General</c:formatCode>
                <c:ptCount val="11"/>
                <c:pt idx="0">
                  <c:v>8.3369999999999997</c:v>
                </c:pt>
                <c:pt idx="1">
                  <c:v>8.2919999999999998</c:v>
                </c:pt>
                <c:pt idx="2">
                  <c:v>8.41</c:v>
                </c:pt>
                <c:pt idx="3">
                  <c:v>8.4190000000000005</c:v>
                </c:pt>
                <c:pt idx="4">
                  <c:v>8.8070000000000004</c:v>
                </c:pt>
                <c:pt idx="5">
                  <c:v>8.9819999999999993</c:v>
                </c:pt>
                <c:pt idx="6">
                  <c:v>9.2720000000000002</c:v>
                </c:pt>
                <c:pt idx="7">
                  <c:v>9.7230000000000008</c:v>
                </c:pt>
                <c:pt idx="8">
                  <c:v>10.077</c:v>
                </c:pt>
                <c:pt idx="9">
                  <c:v>10.077999999999999</c:v>
                </c:pt>
                <c:pt idx="10">
                  <c:v>10.607000000000001</c:v>
                </c:pt>
              </c:numCache>
            </c:numRef>
          </c:xVal>
          <c:yVal>
            <c:numRef>
              <c:f>'Capítulo 2'!$A$833:$A$843</c:f>
              <c:numCache>
                <c:formatCode>General</c:formatCode>
                <c:ptCount val="11"/>
                <c:pt idx="0">
                  <c:v>0.59777631971366085</c:v>
                </c:pt>
                <c:pt idx="1">
                  <c:v>0.6066612775278688</c:v>
                </c:pt>
                <c:pt idx="2">
                  <c:v>0.59906499211678632</c:v>
                </c:pt>
                <c:pt idx="3">
                  <c:v>0.57742505620471274</c:v>
                </c:pt>
                <c:pt idx="4">
                  <c:v>0.59868163489889825</c:v>
                </c:pt>
                <c:pt idx="5">
                  <c:v>0.60341900087071565</c:v>
                </c:pt>
                <c:pt idx="6">
                  <c:v>0.60744861162292185</c:v>
                </c:pt>
                <c:pt idx="7">
                  <c:v>0.61926966079598866</c:v>
                </c:pt>
                <c:pt idx="8">
                  <c:v>0.64112121580458836</c:v>
                </c:pt>
                <c:pt idx="9">
                  <c:v>0.61958721416280316</c:v>
                </c:pt>
                <c:pt idx="10">
                  <c:v>0.66947109593445675</c:v>
                </c:pt>
              </c:numCache>
            </c:numRef>
          </c:yVal>
          <c:smooth val="0"/>
          <c:extLst>
            <c:ext xmlns:c16="http://schemas.microsoft.com/office/drawing/2014/chart" uri="{C3380CC4-5D6E-409C-BE32-E72D297353CC}">
              <c16:uniqueId val="{00000001-3E79-4F9A-B118-854E2F97658E}"/>
            </c:ext>
          </c:extLst>
        </c:ser>
        <c:dLbls>
          <c:showLegendKey val="0"/>
          <c:showVal val="0"/>
          <c:showCatName val="0"/>
          <c:showSerName val="0"/>
          <c:showPercent val="0"/>
          <c:showBubbleSize val="0"/>
        </c:dLbls>
        <c:axId val="151359904"/>
        <c:axId val="151360688"/>
      </c:scatterChart>
      <c:valAx>
        <c:axId val="151359904"/>
        <c:scaling>
          <c:orientation val="minMax"/>
          <c:max val="11"/>
          <c:min val="8"/>
        </c:scaling>
        <c:delete val="0"/>
        <c:axPos val="b"/>
        <c:title>
          <c:tx>
            <c:rich>
              <a:bodyPr/>
              <a:lstStyle/>
              <a:p>
                <a:pPr>
                  <a:defRPr sz="1200"/>
                </a:pPr>
                <a:r>
                  <a:rPr lang="en-US" sz="1200"/>
                  <a:t>(Y/POP)</a:t>
                </a:r>
                <a:r>
                  <a:rPr lang="en-US" sz="1200" baseline="0"/>
                  <a:t> - Milhares de U$ PPP/Pessoa</a:t>
                </a:r>
                <a:endParaRPr lang="en-US" sz="1200"/>
              </a:p>
            </c:rich>
          </c:tx>
          <c:layout>
            <c:manualLayout>
              <c:xMode val="edge"/>
              <c:yMode val="edge"/>
              <c:x val="0.386291350494955"/>
              <c:y val="0.93197278911564596"/>
            </c:manualLayout>
          </c:layout>
          <c:overlay val="0"/>
        </c:title>
        <c:numFmt formatCode="General" sourceLinked="1"/>
        <c:majorTickMark val="out"/>
        <c:minorTickMark val="none"/>
        <c:tickLblPos val="nextTo"/>
        <c:txPr>
          <a:bodyPr/>
          <a:lstStyle/>
          <a:p>
            <a:pPr>
              <a:defRPr sz="1050"/>
            </a:pPr>
            <a:endParaRPr lang="pt-BR"/>
          </a:p>
        </c:txPr>
        <c:crossAx val="151360688"/>
        <c:crosses val="autoZero"/>
        <c:crossBetween val="midCat"/>
      </c:valAx>
      <c:valAx>
        <c:axId val="151360688"/>
        <c:scaling>
          <c:orientation val="minMax"/>
          <c:min val="0.57999999999999996"/>
        </c:scaling>
        <c:delete val="0"/>
        <c:axPos val="l"/>
        <c:majorGridlines/>
        <c:title>
          <c:tx>
            <c:rich>
              <a:bodyPr rot="-5400000" vert="horz"/>
              <a:lstStyle/>
              <a:p>
                <a:pPr>
                  <a:defRPr sz="1200"/>
                </a:pPr>
                <a:r>
                  <a:rPr lang="en-US" sz="1200"/>
                  <a:t>bbl/ano por pessoa</a:t>
                </a:r>
              </a:p>
            </c:rich>
          </c:tx>
          <c:layout>
            <c:manualLayout>
              <c:xMode val="edge"/>
              <c:yMode val="edge"/>
              <c:x val="2.4567762993317199E-2"/>
              <c:y val="0.38047565482886098"/>
            </c:manualLayout>
          </c:layout>
          <c:overlay val="0"/>
        </c:title>
        <c:numFmt formatCode="General" sourceLinked="1"/>
        <c:majorTickMark val="out"/>
        <c:minorTickMark val="none"/>
        <c:tickLblPos val="nextTo"/>
        <c:txPr>
          <a:bodyPr/>
          <a:lstStyle/>
          <a:p>
            <a:pPr>
              <a:defRPr sz="1050"/>
            </a:pPr>
            <a:endParaRPr lang="pt-BR"/>
          </a:p>
        </c:txPr>
        <c:crossAx val="151359904"/>
        <c:crosses val="autoZero"/>
        <c:crossBetween val="midCat"/>
      </c:valAx>
    </c:plotArea>
    <c:plotVisOnly val="1"/>
    <c:dispBlanksAs val="gap"/>
    <c:showDLblsOverMax val="0"/>
  </c:chart>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2625943383375"/>
          <c:y val="4.1533546325878599E-2"/>
          <c:w val="0.79969968311887796"/>
          <c:h val="0.87748685567658702"/>
        </c:manualLayout>
      </c:layout>
      <c:scatterChart>
        <c:scatterStyle val="lineMarker"/>
        <c:varyColors val="0"/>
        <c:ser>
          <c:idx val="0"/>
          <c:order val="0"/>
          <c:tx>
            <c:v>Real</c:v>
          </c:tx>
          <c:spPr>
            <a:ln w="3175" cmpd="sng">
              <a:solidFill>
                <a:schemeClr val="tx1"/>
              </a:solidFill>
            </a:ln>
          </c:spPr>
          <c:marker>
            <c:symbol val="circle"/>
            <c:size val="6"/>
            <c:spPr>
              <a:noFill/>
              <a:ln>
                <a:solidFill>
                  <a:schemeClr val="tx1"/>
                </a:solidFill>
              </a:ln>
            </c:spPr>
          </c:marker>
          <c:xVal>
            <c:numRef>
              <c:f>'Capítulo 2'!$A$872:$A$881</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xVal>
          <c:yVal>
            <c:numRef>
              <c:f>'Capítulo 2'!$H$872:$H$881</c:f>
              <c:numCache>
                <c:formatCode>0.0000</c:formatCode>
                <c:ptCount val="10"/>
                <c:pt idx="0">
                  <c:v>1.8700609947945204</c:v>
                </c:pt>
                <c:pt idx="1">
                  <c:v>1.9380008183561646</c:v>
                </c:pt>
                <c:pt idx="2">
                  <c:v>1.931310943561644</c:v>
                </c:pt>
                <c:pt idx="3">
                  <c:v>1.8620022983561644</c:v>
                </c:pt>
                <c:pt idx="4">
                  <c:v>1.9801451016438356</c:v>
                </c:pt>
                <c:pt idx="5">
                  <c:v>2.0258367536986297</c:v>
                </c:pt>
                <c:pt idx="6">
                  <c:v>2.0679039202739729</c:v>
                </c:pt>
                <c:pt idx="7">
                  <c:v>2.1477775550684934</c:v>
                </c:pt>
                <c:pt idx="8">
                  <c:v>2.2815750509589043</c:v>
                </c:pt>
                <c:pt idx="9">
                  <c:v>2.1921196646575343</c:v>
                </c:pt>
              </c:numCache>
            </c:numRef>
          </c:yVal>
          <c:smooth val="0"/>
          <c:extLst>
            <c:ext xmlns:c16="http://schemas.microsoft.com/office/drawing/2014/chart" uri="{C3380CC4-5D6E-409C-BE32-E72D297353CC}">
              <c16:uniqueId val="{00000000-296B-4D18-A3AB-012AD6A477B4}"/>
            </c:ext>
          </c:extLst>
        </c:ser>
        <c:ser>
          <c:idx val="1"/>
          <c:order val="1"/>
          <c:tx>
            <c:v>Crescimento</c:v>
          </c:tx>
          <c:spPr>
            <a:ln w="47625">
              <a:noFill/>
            </a:ln>
          </c:spPr>
          <c:marker>
            <c:symbol val="triangle"/>
            <c:size val="6"/>
            <c:spPr>
              <a:solidFill>
                <a:srgbClr val="FF0000"/>
              </a:solidFill>
              <a:ln>
                <a:solidFill>
                  <a:srgbClr val="FF0000"/>
                </a:solidFill>
              </a:ln>
            </c:spPr>
          </c:marker>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6B-4D18-A3AB-012AD6A477B4}"/>
                </c:ext>
              </c:extLst>
            </c:dLbl>
            <c:spPr>
              <a:noFill/>
              <a:ln>
                <a:noFill/>
              </a:ln>
              <a:effectLst/>
            </c:spPr>
            <c:txPr>
              <a:bodyPr/>
              <a:lstStyle/>
              <a:p>
                <a:pPr>
                  <a:defRPr b="1">
                    <a:solidFill>
                      <a:srgbClr val="FF0000"/>
                    </a:solidFill>
                  </a:defRPr>
                </a:pPr>
                <a:endParaRPr lang="pt-BR"/>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'Capítulo 2'!$A$896:$A$905</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xVal>
          <c:yVal>
            <c:numRef>
              <c:f>'Capítulo 2'!$F$896:$F$905</c:f>
              <c:numCache>
                <c:formatCode>0.0000</c:formatCode>
                <c:ptCount val="10"/>
                <c:pt idx="0">
                  <c:v>2.3687719258320561</c:v>
                </c:pt>
                <c:pt idx="1">
                  <c:v>2.466708669010004</c:v>
                </c:pt>
                <c:pt idx="2">
                  <c:v>2.5720008482142194</c:v>
                </c:pt>
                <c:pt idx="3">
                  <c:v>2.6853947029523928</c:v>
                </c:pt>
                <c:pt idx="4">
                  <c:v>2.8077290228233349</c:v>
                </c:pt>
                <c:pt idx="5">
                  <c:v>2.9399486793613088</c:v>
                </c:pt>
                <c:pt idx="6">
                  <c:v>3.0831204326256856</c:v>
                </c:pt>
                <c:pt idx="7">
                  <c:v>3.2384514440681311</c:v>
                </c:pt>
                <c:pt idx="8">
                  <c:v>3.4073110183457538</c:v>
                </c:pt>
                <c:pt idx="9">
                  <c:v>3.5912562090915801</c:v>
                </c:pt>
              </c:numCache>
            </c:numRef>
          </c:yVal>
          <c:smooth val="0"/>
          <c:extLst>
            <c:ext xmlns:c16="http://schemas.microsoft.com/office/drawing/2014/chart" uri="{C3380CC4-5D6E-409C-BE32-E72D297353CC}">
              <c16:uniqueId val="{00000002-296B-4D18-A3AB-012AD6A477B4}"/>
            </c:ext>
          </c:extLst>
        </c:ser>
        <c:ser>
          <c:idx val="2"/>
          <c:order val="2"/>
          <c:tx>
            <c:strRef>
              <c:f>'Capítulo 2'!$B$883:$E$883</c:f>
              <c:strCache>
                <c:ptCount val="1"/>
                <c:pt idx="0">
                  <c:v>Caso Base</c:v>
                </c:pt>
              </c:strCache>
            </c:strRef>
          </c:tx>
          <c:spPr>
            <a:ln w="47625">
              <a:noFill/>
            </a:ln>
          </c:spPr>
          <c:marker>
            <c:symbol val="circle"/>
            <c:size val="6"/>
            <c:spPr>
              <a:solidFill>
                <a:srgbClr val="008000"/>
              </a:solidFill>
              <a:ln>
                <a:solidFill>
                  <a:srgbClr val="008000"/>
                </a:solidFill>
              </a:ln>
            </c:spPr>
          </c:marker>
          <c:dLbls>
            <c:dLbl>
              <c:idx val="1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96B-4D18-A3AB-012AD6A477B4}"/>
                </c:ext>
              </c:extLst>
            </c:dLbl>
            <c:spPr>
              <a:noFill/>
              <a:ln>
                <a:noFill/>
              </a:ln>
              <a:effectLst/>
            </c:spPr>
            <c:txPr>
              <a:bodyPr/>
              <a:lstStyle/>
              <a:p>
                <a:pPr>
                  <a:defRPr b="1">
                    <a:solidFill>
                      <a:srgbClr val="008000"/>
                    </a:solidFill>
                  </a:defRPr>
                </a:pPr>
                <a:endParaRPr lang="pt-BR"/>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'Capítulo 2'!$A$886:$A$905</c:f>
              <c:numCache>
                <c:formatCode>General</c:formatCod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numCache>
            </c:numRef>
          </c:xVal>
          <c:yVal>
            <c:numRef>
              <c:f>'Capítulo 2'!$B$886:$B$905</c:f>
              <c:numCache>
                <c:formatCode>0.0000</c:formatCode>
                <c:ptCount val="20"/>
                <c:pt idx="0">
                  <c:v>1.8393348045808462</c:v>
                </c:pt>
                <c:pt idx="1">
                  <c:v>1.8624956079954922</c:v>
                </c:pt>
                <c:pt idx="2">
                  <c:v>1.9023076442581266</c:v>
                </c:pt>
                <c:pt idx="3">
                  <c:v>1.9287878068106037</c:v>
                </c:pt>
                <c:pt idx="4">
                  <c:v>1.9994391365233843</c:v>
                </c:pt>
                <c:pt idx="5">
                  <c:v>2.0448540280231868</c:v>
                </c:pt>
                <c:pt idx="6">
                  <c:v>2.104529659447596</c:v>
                </c:pt>
                <c:pt idx="7">
                  <c:v>2.1857813593763926</c:v>
                </c:pt>
                <c:pt idx="8">
                  <c:v>2.2556593748297447</c:v>
                </c:pt>
                <c:pt idx="9">
                  <c:v>2.2775253148033725</c:v>
                </c:pt>
                <c:pt idx="10">
                  <c:v>2.3421034346152543</c:v>
                </c:pt>
                <c:pt idx="11">
                  <c:v>2.4096607114679149</c:v>
                </c:pt>
                <c:pt idx="12">
                  <c:v>2.4803815100113229</c:v>
                </c:pt>
                <c:pt idx="13">
                  <c:v>2.5544640430870276</c:v>
                </c:pt>
                <c:pt idx="14">
                  <c:v>2.6321215858583851</c:v>
                </c:pt>
                <c:pt idx="15">
                  <c:v>2.7135838112917487</c:v>
                </c:pt>
                <c:pt idx="16">
                  <c:v>2.7990982605728729</c:v>
                </c:pt>
                <c:pt idx="17">
                  <c:v>2.8889319637234414</c:v>
                </c:pt>
                <c:pt idx="18">
                  <c:v>2.983373227590691</c:v>
                </c:pt>
                <c:pt idx="19">
                  <c:v>3.0827336105521361</c:v>
                </c:pt>
              </c:numCache>
            </c:numRef>
          </c:yVal>
          <c:smooth val="0"/>
          <c:extLst>
            <c:ext xmlns:c16="http://schemas.microsoft.com/office/drawing/2014/chart" uri="{C3380CC4-5D6E-409C-BE32-E72D297353CC}">
              <c16:uniqueId val="{00000004-296B-4D18-A3AB-012AD6A477B4}"/>
            </c:ext>
          </c:extLst>
        </c:ser>
        <c:ser>
          <c:idx val="3"/>
          <c:order val="3"/>
          <c:tx>
            <c:v>Estagnação</c:v>
          </c:tx>
          <c:spPr>
            <a:ln w="47625">
              <a:noFill/>
            </a:ln>
          </c:spPr>
          <c:marker>
            <c:symbol val="x"/>
            <c:size val="6"/>
            <c:spPr>
              <a:ln>
                <a:solidFill>
                  <a:srgbClr val="3366FF"/>
                </a:solidFill>
              </a:ln>
            </c:spPr>
          </c:marker>
          <c:dLbls>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96B-4D18-A3AB-012AD6A477B4}"/>
                </c:ext>
              </c:extLst>
            </c:dLbl>
            <c:spPr>
              <a:noFill/>
              <a:ln>
                <a:noFill/>
              </a:ln>
              <a:effectLst/>
            </c:spPr>
            <c:txPr>
              <a:bodyPr/>
              <a:lstStyle/>
              <a:p>
                <a:pPr>
                  <a:defRPr b="1">
                    <a:solidFill>
                      <a:srgbClr val="3366FF"/>
                    </a:solidFill>
                  </a:defRPr>
                </a:pPr>
                <a:endParaRPr lang="pt-BR"/>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'Capítulo 2'!$A$896:$A$905</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xVal>
          <c:yVal>
            <c:numRef>
              <c:f>'Capítulo 2'!$J$896:$J$905</c:f>
              <c:numCache>
                <c:formatCode>0.0000</c:formatCode>
                <c:ptCount val="10"/>
                <c:pt idx="0">
                  <c:v>2.3293254221908737</c:v>
                </c:pt>
                <c:pt idx="1">
                  <c:v>2.3828264951572655</c:v>
                </c:pt>
                <c:pt idx="2">
                  <c:v>2.4381015199134821</c:v>
                </c:pt>
                <c:pt idx="3">
                  <c:v>2.4952272574202885</c:v>
                </c:pt>
                <c:pt idx="4">
                  <c:v>2.5542844694263862</c:v>
                </c:pt>
                <c:pt idx="5">
                  <c:v>2.6153581598258655</c:v>
                </c:pt>
                <c:pt idx="6">
                  <c:v>2.6785378324910267</c:v>
                </c:pt>
                <c:pt idx="7">
                  <c:v>2.7439177668325461</c:v>
                </c:pt>
                <c:pt idx="8">
                  <c:v>2.8115973124435438</c:v>
                </c:pt>
                <c:pt idx="9">
                  <c:v>2.8816812042982032</c:v>
                </c:pt>
              </c:numCache>
            </c:numRef>
          </c:yVal>
          <c:smooth val="0"/>
          <c:extLst>
            <c:ext xmlns:c16="http://schemas.microsoft.com/office/drawing/2014/chart" uri="{C3380CC4-5D6E-409C-BE32-E72D297353CC}">
              <c16:uniqueId val="{00000006-296B-4D18-A3AB-012AD6A477B4}"/>
            </c:ext>
          </c:extLst>
        </c:ser>
        <c:dLbls>
          <c:showLegendKey val="0"/>
          <c:showVal val="0"/>
          <c:showCatName val="0"/>
          <c:showSerName val="0"/>
          <c:showPercent val="0"/>
          <c:showBubbleSize val="0"/>
        </c:dLbls>
        <c:axId val="151361080"/>
        <c:axId val="151356376"/>
      </c:scatterChart>
      <c:valAx>
        <c:axId val="151361080"/>
        <c:scaling>
          <c:orientation val="minMax"/>
          <c:max val="2020"/>
        </c:scaling>
        <c:delete val="0"/>
        <c:axPos val="b"/>
        <c:title>
          <c:tx>
            <c:rich>
              <a:bodyPr/>
              <a:lstStyle/>
              <a:p>
                <a:pPr>
                  <a:defRPr sz="1200"/>
                </a:pPr>
                <a:r>
                  <a:rPr lang="en-US" sz="1200"/>
                  <a:t>Ano</a:t>
                </a:r>
              </a:p>
            </c:rich>
          </c:tx>
          <c:layout>
            <c:manualLayout>
              <c:xMode val="edge"/>
              <c:yMode val="edge"/>
              <c:x val="0.92011991069713905"/>
              <c:y val="0.88190954773869301"/>
            </c:manualLayout>
          </c:layout>
          <c:overlay val="0"/>
        </c:title>
        <c:numFmt formatCode="General" sourceLinked="1"/>
        <c:majorTickMark val="out"/>
        <c:minorTickMark val="none"/>
        <c:tickLblPos val="nextTo"/>
        <c:txPr>
          <a:bodyPr/>
          <a:lstStyle/>
          <a:p>
            <a:pPr>
              <a:defRPr sz="1200"/>
            </a:pPr>
            <a:endParaRPr lang="pt-BR"/>
          </a:p>
        </c:txPr>
        <c:crossAx val="151356376"/>
        <c:crosses val="autoZero"/>
        <c:crossBetween val="midCat"/>
      </c:valAx>
      <c:valAx>
        <c:axId val="151356376"/>
        <c:scaling>
          <c:orientation val="minMax"/>
          <c:max val="4"/>
          <c:min val="0"/>
        </c:scaling>
        <c:delete val="0"/>
        <c:axPos val="l"/>
        <c:title>
          <c:tx>
            <c:rich>
              <a:bodyPr rot="-5400000" vert="horz"/>
              <a:lstStyle/>
              <a:p>
                <a:pPr>
                  <a:defRPr sz="1200"/>
                </a:pPr>
                <a:r>
                  <a:rPr lang="en-US" sz="1200"/>
                  <a:t>Consumo</a:t>
                </a:r>
                <a:r>
                  <a:rPr lang="en-US" sz="1200" baseline="0"/>
                  <a:t> [milhões bbl/dia]</a:t>
                </a:r>
                <a:endParaRPr lang="en-US" sz="1200"/>
              </a:p>
            </c:rich>
          </c:tx>
          <c:layout>
            <c:manualLayout>
              <c:xMode val="edge"/>
              <c:yMode val="edge"/>
              <c:x val="2.50850457286379E-2"/>
              <c:y val="0.33012918925335299"/>
            </c:manualLayout>
          </c:layout>
          <c:overlay val="0"/>
        </c:title>
        <c:numFmt formatCode="0.0" sourceLinked="0"/>
        <c:majorTickMark val="out"/>
        <c:minorTickMark val="none"/>
        <c:tickLblPos val="nextTo"/>
        <c:txPr>
          <a:bodyPr/>
          <a:lstStyle/>
          <a:p>
            <a:pPr>
              <a:defRPr sz="1200"/>
            </a:pPr>
            <a:endParaRPr lang="pt-BR"/>
          </a:p>
        </c:txPr>
        <c:crossAx val="151361080"/>
        <c:crosses val="autoZero"/>
        <c:crossBetween val="midCat"/>
        <c:majorUnit val="0.5"/>
      </c:valAx>
      <c:spPr>
        <a:ln w="3175" cmpd="sng"/>
      </c:spPr>
    </c:plotArea>
    <c:legend>
      <c:legendPos val="r"/>
      <c:layout>
        <c:manualLayout>
          <c:xMode val="edge"/>
          <c:yMode val="edge"/>
          <c:x val="0.16652919147301701"/>
          <c:y val="9.6224033553594698E-2"/>
          <c:w val="0.12663001728442499"/>
          <c:h val="0.201838325485696"/>
        </c:manualLayout>
      </c:layout>
      <c:overlay val="0"/>
    </c:legend>
    <c:plotVisOnly val="1"/>
    <c:dispBlanksAs val="gap"/>
    <c:showDLblsOverMax val="0"/>
  </c:chart>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BR"/>
              <a:t>Consumo</a:t>
            </a:r>
            <a:r>
              <a:rPr lang="pt-BR" baseline="0"/>
              <a:t> GWh/ano x PLANO GLD</a:t>
            </a:r>
            <a:endParaRPr lang="pt-B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plotArea>
      <c:layout/>
      <c:lineChart>
        <c:grouping val="standard"/>
        <c:varyColors val="0"/>
        <c:ser>
          <c:idx val="0"/>
          <c:order val="0"/>
          <c:tx>
            <c:strRef>
              <c:f>'Capítulo 3'!$K$304</c:f>
              <c:strCache>
                <c:ptCount val="1"/>
                <c:pt idx="0">
                  <c:v>SEM PLANO</c:v>
                </c:pt>
              </c:strCache>
            </c:strRef>
          </c:tx>
          <c:spPr>
            <a:ln w="28575" cap="rnd">
              <a:solidFill>
                <a:schemeClr val="accent1"/>
              </a:solidFill>
              <a:round/>
            </a:ln>
            <a:effectLst/>
          </c:spPr>
          <c:marker>
            <c:symbol val="none"/>
          </c:marker>
          <c:cat>
            <c:numRef>
              <c:f>'Capítulo 3'!$U$337:$U$362</c:f>
              <c:numCache>
                <c:formatCode>General</c:formatCod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cat>
          <c:val>
            <c:numRef>
              <c:f>'Capítulo 3'!$R$307:$R$332</c:f>
              <c:numCache>
                <c:formatCode>0.0</c:formatCode>
                <c:ptCount val="26"/>
                <c:pt idx="0">
                  <c:v>800</c:v>
                </c:pt>
                <c:pt idx="1">
                  <c:v>736.8</c:v>
                </c:pt>
                <c:pt idx="2">
                  <c:v>753.6</c:v>
                </c:pt>
                <c:pt idx="3">
                  <c:v>770.4</c:v>
                </c:pt>
                <c:pt idx="4">
                  <c:v>787.2</c:v>
                </c:pt>
                <c:pt idx="5">
                  <c:v>804</c:v>
                </c:pt>
                <c:pt idx="6">
                  <c:v>741.6</c:v>
                </c:pt>
                <c:pt idx="7">
                  <c:v>759.2</c:v>
                </c:pt>
                <c:pt idx="8">
                  <c:v>776.8</c:v>
                </c:pt>
                <c:pt idx="9">
                  <c:v>794.4</c:v>
                </c:pt>
                <c:pt idx="10">
                  <c:v>812</c:v>
                </c:pt>
                <c:pt idx="11">
                  <c:v>770.2</c:v>
                </c:pt>
                <c:pt idx="12">
                  <c:v>788.4</c:v>
                </c:pt>
                <c:pt idx="13">
                  <c:v>806.6</c:v>
                </c:pt>
                <c:pt idx="14">
                  <c:v>824.8</c:v>
                </c:pt>
                <c:pt idx="15">
                  <c:v>843</c:v>
                </c:pt>
                <c:pt idx="16">
                  <c:v>801.8</c:v>
                </c:pt>
                <c:pt idx="17">
                  <c:v>820.6</c:v>
                </c:pt>
                <c:pt idx="18">
                  <c:v>839.4</c:v>
                </c:pt>
                <c:pt idx="19">
                  <c:v>858.2</c:v>
                </c:pt>
                <c:pt idx="20">
                  <c:v>877</c:v>
                </c:pt>
                <c:pt idx="21">
                  <c:v>836.4</c:v>
                </c:pt>
                <c:pt idx="22">
                  <c:v>855.8</c:v>
                </c:pt>
                <c:pt idx="23">
                  <c:v>875.2</c:v>
                </c:pt>
                <c:pt idx="24">
                  <c:v>894.6</c:v>
                </c:pt>
                <c:pt idx="25">
                  <c:v>914</c:v>
                </c:pt>
              </c:numCache>
            </c:numRef>
          </c:val>
          <c:smooth val="0"/>
          <c:extLst>
            <c:ext xmlns:c16="http://schemas.microsoft.com/office/drawing/2014/chart" uri="{C3380CC4-5D6E-409C-BE32-E72D297353CC}">
              <c16:uniqueId val="{00000000-AC3A-4804-ADBE-19620B87BE76}"/>
            </c:ext>
          </c:extLst>
        </c:ser>
        <c:ser>
          <c:idx val="1"/>
          <c:order val="1"/>
          <c:tx>
            <c:strRef>
              <c:f>'Capítulo 3'!$K$334:$S$334</c:f>
              <c:strCache>
                <c:ptCount val="1"/>
                <c:pt idx="0">
                  <c:v>PLANO A</c:v>
                </c:pt>
              </c:strCache>
            </c:strRef>
          </c:tx>
          <c:spPr>
            <a:ln w="28575" cap="rnd">
              <a:solidFill>
                <a:srgbClr val="FF0000"/>
              </a:solidFill>
              <a:round/>
            </a:ln>
            <a:effectLst/>
          </c:spPr>
          <c:marker>
            <c:symbol val="none"/>
          </c:marker>
          <c:cat>
            <c:numRef>
              <c:f>'Capítulo 3'!$U$337:$U$362</c:f>
              <c:numCache>
                <c:formatCode>General</c:formatCod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cat>
          <c:val>
            <c:numRef>
              <c:f>'Capítulo 3'!$S$337:$S$362</c:f>
              <c:numCache>
                <c:formatCode>0.0</c:formatCode>
                <c:ptCount val="26"/>
                <c:pt idx="0">
                  <c:v>800</c:v>
                </c:pt>
                <c:pt idx="1">
                  <c:v>548</c:v>
                </c:pt>
                <c:pt idx="2">
                  <c:v>491.2</c:v>
                </c:pt>
                <c:pt idx="3">
                  <c:v>480.48</c:v>
                </c:pt>
                <c:pt idx="4">
                  <c:v>488.19200000000001</c:v>
                </c:pt>
                <c:pt idx="5">
                  <c:v>503.27679999999998</c:v>
                </c:pt>
                <c:pt idx="6">
                  <c:v>520</c:v>
                </c:pt>
                <c:pt idx="7">
                  <c:v>540</c:v>
                </c:pt>
                <c:pt idx="8">
                  <c:v>560</c:v>
                </c:pt>
                <c:pt idx="9">
                  <c:v>580</c:v>
                </c:pt>
                <c:pt idx="10">
                  <c:v>600</c:v>
                </c:pt>
                <c:pt idx="11">
                  <c:v>620</c:v>
                </c:pt>
                <c:pt idx="12">
                  <c:v>640</c:v>
                </c:pt>
                <c:pt idx="13">
                  <c:v>660</c:v>
                </c:pt>
                <c:pt idx="14">
                  <c:v>680</c:v>
                </c:pt>
                <c:pt idx="15">
                  <c:v>700</c:v>
                </c:pt>
                <c:pt idx="16">
                  <c:v>720</c:v>
                </c:pt>
                <c:pt idx="17">
                  <c:v>740</c:v>
                </c:pt>
                <c:pt idx="18">
                  <c:v>760</c:v>
                </c:pt>
                <c:pt idx="19">
                  <c:v>780</c:v>
                </c:pt>
                <c:pt idx="20">
                  <c:v>800</c:v>
                </c:pt>
                <c:pt idx="21">
                  <c:v>820</c:v>
                </c:pt>
                <c:pt idx="22">
                  <c:v>840</c:v>
                </c:pt>
                <c:pt idx="23">
                  <c:v>860</c:v>
                </c:pt>
                <c:pt idx="24">
                  <c:v>880</c:v>
                </c:pt>
                <c:pt idx="25">
                  <c:v>900</c:v>
                </c:pt>
              </c:numCache>
            </c:numRef>
          </c:val>
          <c:smooth val="0"/>
          <c:extLst>
            <c:ext xmlns:c16="http://schemas.microsoft.com/office/drawing/2014/chart" uri="{C3380CC4-5D6E-409C-BE32-E72D297353CC}">
              <c16:uniqueId val="{00000001-AC3A-4804-ADBE-19620B87BE76}"/>
            </c:ext>
          </c:extLst>
        </c:ser>
        <c:ser>
          <c:idx val="2"/>
          <c:order val="2"/>
          <c:tx>
            <c:strRef>
              <c:f>'Capítulo 3'!$U$334:$AC$334</c:f>
              <c:strCache>
                <c:ptCount val="1"/>
                <c:pt idx="0">
                  <c:v>PLANO B</c:v>
                </c:pt>
              </c:strCache>
            </c:strRef>
          </c:tx>
          <c:spPr>
            <a:ln w="28575" cap="rnd">
              <a:solidFill>
                <a:srgbClr val="008000"/>
              </a:solidFill>
              <a:round/>
            </a:ln>
            <a:effectLst/>
          </c:spPr>
          <c:marker>
            <c:symbol val="none"/>
          </c:marker>
          <c:cat>
            <c:numRef>
              <c:f>'Capítulo 3'!$U$337:$U$362</c:f>
              <c:numCache>
                <c:formatCode>General</c:formatCode>
                <c:ptCount val="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numCache>
            </c:numRef>
          </c:cat>
          <c:val>
            <c:numRef>
              <c:f>'Capítulo 3'!$AC$337:$AC$362</c:f>
              <c:numCache>
                <c:formatCode>0.0</c:formatCode>
                <c:ptCount val="26"/>
                <c:pt idx="0">
                  <c:v>800</c:v>
                </c:pt>
                <c:pt idx="1">
                  <c:v>644</c:v>
                </c:pt>
                <c:pt idx="2">
                  <c:v>596.79999999999995</c:v>
                </c:pt>
                <c:pt idx="3">
                  <c:v>569.76</c:v>
                </c:pt>
                <c:pt idx="4">
                  <c:v>556.83199999999999</c:v>
                </c:pt>
                <c:pt idx="5">
                  <c:v>553.78240000000005</c:v>
                </c:pt>
                <c:pt idx="6">
                  <c:v>520</c:v>
                </c:pt>
                <c:pt idx="7">
                  <c:v>540</c:v>
                </c:pt>
                <c:pt idx="8">
                  <c:v>560</c:v>
                </c:pt>
                <c:pt idx="9">
                  <c:v>580</c:v>
                </c:pt>
                <c:pt idx="10">
                  <c:v>600</c:v>
                </c:pt>
                <c:pt idx="11">
                  <c:v>620</c:v>
                </c:pt>
                <c:pt idx="12">
                  <c:v>640</c:v>
                </c:pt>
                <c:pt idx="13">
                  <c:v>660</c:v>
                </c:pt>
                <c:pt idx="14">
                  <c:v>680</c:v>
                </c:pt>
                <c:pt idx="15">
                  <c:v>700</c:v>
                </c:pt>
                <c:pt idx="16">
                  <c:v>720</c:v>
                </c:pt>
                <c:pt idx="17">
                  <c:v>740</c:v>
                </c:pt>
                <c:pt idx="18">
                  <c:v>760</c:v>
                </c:pt>
                <c:pt idx="19">
                  <c:v>780</c:v>
                </c:pt>
                <c:pt idx="20">
                  <c:v>800</c:v>
                </c:pt>
                <c:pt idx="21">
                  <c:v>820</c:v>
                </c:pt>
                <c:pt idx="22">
                  <c:v>840</c:v>
                </c:pt>
                <c:pt idx="23">
                  <c:v>860</c:v>
                </c:pt>
                <c:pt idx="24">
                  <c:v>880</c:v>
                </c:pt>
                <c:pt idx="25">
                  <c:v>900</c:v>
                </c:pt>
              </c:numCache>
            </c:numRef>
          </c:val>
          <c:smooth val="0"/>
          <c:extLst>
            <c:ext xmlns:c16="http://schemas.microsoft.com/office/drawing/2014/chart" uri="{C3380CC4-5D6E-409C-BE32-E72D297353CC}">
              <c16:uniqueId val="{00000002-AC3A-4804-ADBE-19620B87BE76}"/>
            </c:ext>
          </c:extLst>
        </c:ser>
        <c:dLbls>
          <c:showLegendKey val="0"/>
          <c:showVal val="0"/>
          <c:showCatName val="0"/>
          <c:showSerName val="0"/>
          <c:showPercent val="0"/>
          <c:showBubbleSize val="0"/>
        </c:dLbls>
        <c:smooth val="0"/>
        <c:axId val="151361864"/>
        <c:axId val="151357552"/>
      </c:lineChart>
      <c:catAx>
        <c:axId val="1513618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t-BR"/>
                  <a:t>ANO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51357552"/>
        <c:crosses val="autoZero"/>
        <c:auto val="1"/>
        <c:lblAlgn val="ctr"/>
        <c:lblOffset val="100"/>
        <c:noMultiLvlLbl val="0"/>
      </c:catAx>
      <c:valAx>
        <c:axId val="151357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t-BR"/>
                  <a:t>ENERGIA</a:t>
                </a:r>
                <a:r>
                  <a:rPr lang="pt-BR" baseline="0"/>
                  <a:t> GWh/ano</a:t>
                </a:r>
                <a:endParaRPr lang="pt-B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t-BR"/>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51361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6559621132698399"/>
          <c:y val="0.16944444444444401"/>
          <c:w val="0.78119451384086902"/>
          <c:h val="0.79722222222222205"/>
        </c:manualLayout>
      </c:layout>
      <c:scatterChart>
        <c:scatterStyle val="smoothMarker"/>
        <c:varyColors val="0"/>
        <c:ser>
          <c:idx val="0"/>
          <c:order val="0"/>
          <c:tx>
            <c:strRef>
              <c:f>'Capítulo 3'!$F$254</c:f>
              <c:strCache>
                <c:ptCount val="1"/>
                <c:pt idx="0">
                  <c:v>VPLchuveiro</c:v>
                </c:pt>
              </c:strCache>
            </c:strRef>
          </c:tx>
          <c:spPr>
            <a:ln w="19050" cmpd="sng">
              <a:solidFill>
                <a:srgbClr val="3366FF"/>
              </a:solidFill>
            </a:ln>
          </c:spPr>
          <c:marker>
            <c:symbol val="none"/>
          </c:marker>
          <c:xVal>
            <c:numRef>
              <c:f>'Capítulo 3'!$E$255:$E$295</c:f>
              <c:numCache>
                <c:formatCode>0%</c:formatCode>
                <c:ptCount val="41"/>
                <c:pt idx="0">
                  <c:v>0.1</c:v>
                </c:pt>
                <c:pt idx="1">
                  <c:v>0.11</c:v>
                </c:pt>
                <c:pt idx="2">
                  <c:v>0.12</c:v>
                </c:pt>
                <c:pt idx="3">
                  <c:v>0.13</c:v>
                </c:pt>
                <c:pt idx="4">
                  <c:v>0.14000000000000001</c:v>
                </c:pt>
                <c:pt idx="5">
                  <c:v>0.15000000000000002</c:v>
                </c:pt>
                <c:pt idx="6">
                  <c:v>0.16000000000000003</c:v>
                </c:pt>
                <c:pt idx="7">
                  <c:v>0.17000000000000004</c:v>
                </c:pt>
                <c:pt idx="8">
                  <c:v>0.18000000000000005</c:v>
                </c:pt>
                <c:pt idx="9">
                  <c:v>0.19000000000000006</c:v>
                </c:pt>
                <c:pt idx="10">
                  <c:v>0.20000000000000007</c:v>
                </c:pt>
                <c:pt idx="11">
                  <c:v>0.21000000000000008</c:v>
                </c:pt>
                <c:pt idx="12">
                  <c:v>0.22000000000000008</c:v>
                </c:pt>
                <c:pt idx="13">
                  <c:v>0.23000000000000009</c:v>
                </c:pt>
                <c:pt idx="14">
                  <c:v>0.2400000000000001</c:v>
                </c:pt>
                <c:pt idx="15">
                  <c:v>0.25000000000000011</c:v>
                </c:pt>
                <c:pt idx="16">
                  <c:v>0.26000000000000012</c:v>
                </c:pt>
                <c:pt idx="17">
                  <c:v>0.27000000000000013</c:v>
                </c:pt>
                <c:pt idx="18">
                  <c:v>0.28000000000000014</c:v>
                </c:pt>
                <c:pt idx="19">
                  <c:v>0.29000000000000015</c:v>
                </c:pt>
                <c:pt idx="20">
                  <c:v>0.30000000000000016</c:v>
                </c:pt>
                <c:pt idx="21">
                  <c:v>0.31000000000000016</c:v>
                </c:pt>
                <c:pt idx="22">
                  <c:v>0.32000000000000017</c:v>
                </c:pt>
                <c:pt idx="23">
                  <c:v>0.33000000000000018</c:v>
                </c:pt>
                <c:pt idx="24">
                  <c:v>0.34000000000000019</c:v>
                </c:pt>
                <c:pt idx="25">
                  <c:v>0.3500000000000002</c:v>
                </c:pt>
                <c:pt idx="26">
                  <c:v>0.36000000000000021</c:v>
                </c:pt>
                <c:pt idx="27">
                  <c:v>0.37</c:v>
                </c:pt>
                <c:pt idx="28">
                  <c:v>0.38</c:v>
                </c:pt>
                <c:pt idx="29">
                  <c:v>0.39</c:v>
                </c:pt>
                <c:pt idx="30">
                  <c:v>0.4</c:v>
                </c:pt>
                <c:pt idx="31">
                  <c:v>0.41000000000000003</c:v>
                </c:pt>
                <c:pt idx="32">
                  <c:v>0.42000000000000004</c:v>
                </c:pt>
                <c:pt idx="33">
                  <c:v>0.43000000000000005</c:v>
                </c:pt>
                <c:pt idx="34">
                  <c:v>0.44000000000000006</c:v>
                </c:pt>
                <c:pt idx="35">
                  <c:v>0.45000000000000007</c:v>
                </c:pt>
                <c:pt idx="36">
                  <c:v>0.46000000000000008</c:v>
                </c:pt>
                <c:pt idx="37">
                  <c:v>0.47000000000000008</c:v>
                </c:pt>
                <c:pt idx="38">
                  <c:v>0.48000000000000009</c:v>
                </c:pt>
                <c:pt idx="39">
                  <c:v>0.4900000000000001</c:v>
                </c:pt>
                <c:pt idx="40">
                  <c:v>0.50000000000000011</c:v>
                </c:pt>
              </c:numCache>
            </c:numRef>
          </c:xVal>
          <c:yVal>
            <c:numRef>
              <c:f>'Capítulo 3'!$F$255:$F$295</c:f>
              <c:numCache>
                <c:formatCode>_("R$"* #,##0.00_);_("R$"* \(#,##0.00\);_("R$"* "-"??_);_(@_)</c:formatCode>
                <c:ptCount val="41"/>
                <c:pt idx="0">
                  <c:v>-1654.4630972029115</c:v>
                </c:pt>
                <c:pt idx="1">
                  <c:v>-1555.3546605001213</c:v>
                </c:pt>
                <c:pt idx="2">
                  <c:v>-1466.396185613886</c:v>
                </c:pt>
                <c:pt idx="3">
                  <c:v>-1386.2982542408893</c:v>
                </c:pt>
                <c:pt idx="4">
                  <c:v>-1313.9582749570627</c:v>
                </c:pt>
                <c:pt idx="5">
                  <c:v>-1248.4307850481846</c:v>
                </c:pt>
                <c:pt idx="6">
                  <c:v>-1188.9028228273639</c:v>
                </c:pt>
                <c:pt idx="7">
                  <c:v>-1134.6734525982554</c:v>
                </c:pt>
                <c:pt idx="8">
                  <c:v>-1085.1366990626746</c:v>
                </c:pt>
                <c:pt idx="9">
                  <c:v>-1039.7672878954045</c:v>
                </c:pt>
                <c:pt idx="10">
                  <c:v>-998.10870159388674</c:v>
                </c:pt>
                <c:pt idx="11">
                  <c:v>-959.76315019633034</c:v>
                </c:pt>
                <c:pt idx="12">
                  <c:v>-924.38312949007582</c:v>
                </c:pt>
                <c:pt idx="13">
                  <c:v>-891.66429841106401</c:v>
                </c:pt>
                <c:pt idx="14">
                  <c:v>-861.3394552408995</c:v>
                </c:pt>
                <c:pt idx="15">
                  <c:v>-833.1734311436087</c:v>
                </c:pt>
                <c:pt idx="16">
                  <c:v>-806.95875130131083</c:v>
                </c:pt>
                <c:pt idx="17">
                  <c:v>-782.51193980350013</c:v>
                </c:pt>
                <c:pt idx="18">
                  <c:v>-759.67036563393447</c:v>
                </c:pt>
                <c:pt idx="19">
                  <c:v>-738.28954447599028</c:v>
                </c:pt>
                <c:pt idx="20">
                  <c:v>-718.24082533851697</c:v>
                </c:pt>
                <c:pt idx="21">
                  <c:v>-699.40940276673837</c:v>
                </c:pt>
                <c:pt idx="22">
                  <c:v>-681.69260511119785</c:v>
                </c:pt>
                <c:pt idx="23">
                  <c:v>-664.99841735790767</c:v>
                </c:pt>
                <c:pt idx="24">
                  <c:v>-649.24420367851758</c:v>
                </c:pt>
                <c:pt idx="25">
                  <c:v>-634.3556003872734</c:v>
                </c:pt>
                <c:pt idx="26">
                  <c:v>-620.26555459203473</c:v>
                </c:pt>
                <c:pt idx="27">
                  <c:v>-606.91348766317378</c:v>
                </c:pt>
                <c:pt idx="28">
                  <c:v>-594.24456584984796</c:v>
                </c:pt>
                <c:pt idx="29">
                  <c:v>-582.20906305708809</c:v>
                </c:pt>
                <c:pt idx="30">
                  <c:v>-570.76180304858622</c:v>
                </c:pt>
                <c:pt idx="31">
                  <c:v>-559.8616702323593</c:v>
                </c:pt>
                <c:pt idx="32">
                  <c:v>-549.47117977998573</c:v>
                </c:pt>
                <c:pt idx="33">
                  <c:v>-539.55609917448021</c:v>
                </c:pt>
                <c:pt idx="34">
                  <c:v>-530.08511441826408</c:v>
                </c:pt>
                <c:pt idx="35">
                  <c:v>-521.02953509495751</c:v>
                </c:pt>
                <c:pt idx="36">
                  <c:v>-512.36303329513987</c:v>
                </c:pt>
                <c:pt idx="37">
                  <c:v>-504.06141211004052</c:v>
                </c:pt>
                <c:pt idx="38">
                  <c:v>-496.10239998792503</c:v>
                </c:pt>
                <c:pt idx="39">
                  <c:v>-488.46546775179439</c:v>
                </c:pt>
                <c:pt idx="40">
                  <c:v>-481.13166550758575</c:v>
                </c:pt>
              </c:numCache>
            </c:numRef>
          </c:yVal>
          <c:smooth val="1"/>
          <c:extLst>
            <c:ext xmlns:c16="http://schemas.microsoft.com/office/drawing/2014/chart" uri="{C3380CC4-5D6E-409C-BE32-E72D297353CC}">
              <c16:uniqueId val="{00000000-17BA-4EDC-83ED-A92920E50435}"/>
            </c:ext>
          </c:extLst>
        </c:ser>
        <c:ser>
          <c:idx val="1"/>
          <c:order val="1"/>
          <c:tx>
            <c:strRef>
              <c:f>'Capítulo 3'!$G$254</c:f>
              <c:strCache>
                <c:ptCount val="1"/>
                <c:pt idx="0">
                  <c:v>VPLpré-aquec.</c:v>
                </c:pt>
              </c:strCache>
            </c:strRef>
          </c:tx>
          <c:spPr>
            <a:ln w="19050" cmpd="sng">
              <a:solidFill>
                <a:srgbClr val="FF0000"/>
              </a:solidFill>
            </a:ln>
          </c:spPr>
          <c:marker>
            <c:symbol val="none"/>
          </c:marker>
          <c:xVal>
            <c:numRef>
              <c:f>'Capítulo 3'!$E$255:$E$295</c:f>
              <c:numCache>
                <c:formatCode>0%</c:formatCode>
                <c:ptCount val="41"/>
                <c:pt idx="0">
                  <c:v>0.1</c:v>
                </c:pt>
                <c:pt idx="1">
                  <c:v>0.11</c:v>
                </c:pt>
                <c:pt idx="2">
                  <c:v>0.12</c:v>
                </c:pt>
                <c:pt idx="3">
                  <c:v>0.13</c:v>
                </c:pt>
                <c:pt idx="4">
                  <c:v>0.14000000000000001</c:v>
                </c:pt>
                <c:pt idx="5">
                  <c:v>0.15000000000000002</c:v>
                </c:pt>
                <c:pt idx="6">
                  <c:v>0.16000000000000003</c:v>
                </c:pt>
                <c:pt idx="7">
                  <c:v>0.17000000000000004</c:v>
                </c:pt>
                <c:pt idx="8">
                  <c:v>0.18000000000000005</c:v>
                </c:pt>
                <c:pt idx="9">
                  <c:v>0.19000000000000006</c:v>
                </c:pt>
                <c:pt idx="10">
                  <c:v>0.20000000000000007</c:v>
                </c:pt>
                <c:pt idx="11">
                  <c:v>0.21000000000000008</c:v>
                </c:pt>
                <c:pt idx="12">
                  <c:v>0.22000000000000008</c:v>
                </c:pt>
                <c:pt idx="13">
                  <c:v>0.23000000000000009</c:v>
                </c:pt>
                <c:pt idx="14">
                  <c:v>0.2400000000000001</c:v>
                </c:pt>
                <c:pt idx="15">
                  <c:v>0.25000000000000011</c:v>
                </c:pt>
                <c:pt idx="16">
                  <c:v>0.26000000000000012</c:v>
                </c:pt>
                <c:pt idx="17">
                  <c:v>0.27000000000000013</c:v>
                </c:pt>
                <c:pt idx="18">
                  <c:v>0.28000000000000014</c:v>
                </c:pt>
                <c:pt idx="19">
                  <c:v>0.29000000000000015</c:v>
                </c:pt>
                <c:pt idx="20">
                  <c:v>0.30000000000000016</c:v>
                </c:pt>
                <c:pt idx="21">
                  <c:v>0.31000000000000016</c:v>
                </c:pt>
                <c:pt idx="22">
                  <c:v>0.32000000000000017</c:v>
                </c:pt>
                <c:pt idx="23">
                  <c:v>0.33000000000000018</c:v>
                </c:pt>
                <c:pt idx="24">
                  <c:v>0.34000000000000019</c:v>
                </c:pt>
                <c:pt idx="25">
                  <c:v>0.3500000000000002</c:v>
                </c:pt>
                <c:pt idx="26">
                  <c:v>0.36000000000000021</c:v>
                </c:pt>
                <c:pt idx="27">
                  <c:v>0.37</c:v>
                </c:pt>
                <c:pt idx="28">
                  <c:v>0.38</c:v>
                </c:pt>
                <c:pt idx="29">
                  <c:v>0.39</c:v>
                </c:pt>
                <c:pt idx="30">
                  <c:v>0.4</c:v>
                </c:pt>
                <c:pt idx="31">
                  <c:v>0.41000000000000003</c:v>
                </c:pt>
                <c:pt idx="32">
                  <c:v>0.42000000000000004</c:v>
                </c:pt>
                <c:pt idx="33">
                  <c:v>0.43000000000000005</c:v>
                </c:pt>
                <c:pt idx="34">
                  <c:v>0.44000000000000006</c:v>
                </c:pt>
                <c:pt idx="35">
                  <c:v>0.45000000000000007</c:v>
                </c:pt>
                <c:pt idx="36">
                  <c:v>0.46000000000000008</c:v>
                </c:pt>
                <c:pt idx="37">
                  <c:v>0.47000000000000008</c:v>
                </c:pt>
                <c:pt idx="38">
                  <c:v>0.48000000000000009</c:v>
                </c:pt>
                <c:pt idx="39">
                  <c:v>0.4900000000000001</c:v>
                </c:pt>
                <c:pt idx="40">
                  <c:v>0.50000000000000011</c:v>
                </c:pt>
              </c:numCache>
            </c:numRef>
          </c:xVal>
          <c:yVal>
            <c:numRef>
              <c:f>'Capítulo 3'!$G$255:$G$295</c:f>
              <c:numCache>
                <c:formatCode>_("R$"* #,##0.00_);_("R$"* \(#,##0.00\);_("R$"* "-"??_);_(@_)</c:formatCode>
                <c:ptCount val="41"/>
                <c:pt idx="0">
                  <c:v>-766.4929985780982</c:v>
                </c:pt>
                <c:pt idx="1">
                  <c:v>-751.40223694690394</c:v>
                </c:pt>
                <c:pt idx="2">
                  <c:v>-737.8569608408086</c:v>
                </c:pt>
                <c:pt idx="3">
                  <c:v>-725.66083677998358</c:v>
                </c:pt>
                <c:pt idx="4">
                  <c:v>-714.64597850861878</c:v>
                </c:pt>
                <c:pt idx="5">
                  <c:v>-704.66842499850941</c:v>
                </c:pt>
                <c:pt idx="6">
                  <c:v>-695.60439051112189</c:v>
                </c:pt>
                <c:pt idx="7">
                  <c:v>-687.34714696291212</c:v>
                </c:pt>
                <c:pt idx="8">
                  <c:v>-679.80442543022934</c:v>
                </c:pt>
                <c:pt idx="9">
                  <c:v>-672.89624493570591</c:v>
                </c:pt>
                <c:pt idx="10">
                  <c:v>-666.55309377034155</c:v>
                </c:pt>
                <c:pt idx="11">
                  <c:v>-660.71440238332536</c:v>
                </c:pt>
                <c:pt idx="12">
                  <c:v>-655.32725799131026</c:v>
                </c:pt>
                <c:pt idx="13">
                  <c:v>-650.34532005452945</c:v>
                </c:pt>
                <c:pt idx="14">
                  <c:v>-645.72790306149739</c:v>
                </c:pt>
                <c:pt idx="15">
                  <c:v>-641.43919899258617</c:v>
                </c:pt>
                <c:pt idx="16">
                  <c:v>-637.44761666216834</c:v>
                </c:pt>
                <c:pt idx="17">
                  <c:v>-633.72521908200531</c:v>
                </c:pt>
                <c:pt idx="18">
                  <c:v>-630.24724321494716</c:v>
                </c:pt>
                <c:pt idx="19">
                  <c:v>-626.99168913390247</c:v>
                </c:pt>
                <c:pt idx="20">
                  <c:v>-623.93896777556165</c:v>
                </c:pt>
                <c:pt idx="21">
                  <c:v>-621.07159826937914</c:v>
                </c:pt>
                <c:pt idx="22">
                  <c:v>-618.37394730057588</c:v>
                </c:pt>
                <c:pt idx="23">
                  <c:v>-615.83200418864078</c:v>
                </c:pt>
                <c:pt idx="24">
                  <c:v>-613.43318637623258</c:v>
                </c:pt>
                <c:pt idx="25">
                  <c:v>-611.16617086509746</c:v>
                </c:pt>
                <c:pt idx="26">
                  <c:v>-609.02074783611556</c:v>
                </c:pt>
                <c:pt idx="27">
                  <c:v>-606.98769327476236</c:v>
                </c:pt>
                <c:pt idx="28">
                  <c:v>-605.05865791138092</c:v>
                </c:pt>
                <c:pt idx="29">
                  <c:v>-603.22607019433542</c:v>
                </c:pt>
                <c:pt idx="30">
                  <c:v>-601.4830513569317</c:v>
                </c:pt>
                <c:pt idx="31">
                  <c:v>-599.82334092711903</c:v>
                </c:pt>
                <c:pt idx="32">
                  <c:v>-598.24123127162943</c:v>
                </c:pt>
                <c:pt idx="33">
                  <c:v>-596.73150997090443</c:v>
                </c:pt>
                <c:pt idx="34">
                  <c:v>-595.28940899420002</c:v>
                </c:pt>
                <c:pt idx="35">
                  <c:v>-593.91055979077453</c:v>
                </c:pt>
                <c:pt idx="36">
                  <c:v>-592.59095353737791</c:v>
                </c:pt>
                <c:pt idx="37">
                  <c:v>-591.32690588790797</c:v>
                </c:pt>
                <c:pt idx="38">
                  <c:v>-590.11502566105275</c:v>
                </c:pt>
                <c:pt idx="39">
                  <c:v>-588.95218697846281</c:v>
                </c:pt>
                <c:pt idx="40">
                  <c:v>-587.8355044315515</c:v>
                </c:pt>
              </c:numCache>
            </c:numRef>
          </c:yVal>
          <c:smooth val="1"/>
          <c:extLst>
            <c:ext xmlns:c16="http://schemas.microsoft.com/office/drawing/2014/chart" uri="{C3380CC4-5D6E-409C-BE32-E72D297353CC}">
              <c16:uniqueId val="{00000001-17BA-4EDC-83ED-A92920E50435}"/>
            </c:ext>
          </c:extLst>
        </c:ser>
        <c:dLbls>
          <c:showLegendKey val="0"/>
          <c:showVal val="0"/>
          <c:showCatName val="0"/>
          <c:showSerName val="0"/>
          <c:showPercent val="0"/>
          <c:showBubbleSize val="0"/>
        </c:dLbls>
        <c:axId val="151357160"/>
        <c:axId val="151358336"/>
      </c:scatterChart>
      <c:valAx>
        <c:axId val="151357160"/>
        <c:scaling>
          <c:orientation val="minMax"/>
          <c:max val="0.5"/>
          <c:min val="0.1"/>
        </c:scaling>
        <c:delete val="0"/>
        <c:axPos val="b"/>
        <c:majorGridlines/>
        <c:title>
          <c:tx>
            <c:rich>
              <a:bodyPr/>
              <a:lstStyle/>
              <a:p>
                <a:pPr>
                  <a:defRPr/>
                </a:pPr>
                <a:r>
                  <a:rPr lang="en-US"/>
                  <a:t>Taxa</a:t>
                </a:r>
                <a:r>
                  <a:rPr lang="en-US" baseline="0"/>
                  <a:t> de Desconto</a:t>
                </a:r>
                <a:endParaRPr lang="en-US"/>
              </a:p>
            </c:rich>
          </c:tx>
          <c:layout>
            <c:manualLayout>
              <c:xMode val="edge"/>
              <c:yMode val="edge"/>
              <c:x val="0.41186595213133798"/>
              <c:y val="5.5555555555555497E-3"/>
            </c:manualLayout>
          </c:layout>
          <c:overlay val="0"/>
        </c:title>
        <c:numFmt formatCode="0%" sourceLinked="1"/>
        <c:majorTickMark val="cross"/>
        <c:minorTickMark val="none"/>
        <c:tickLblPos val="high"/>
        <c:crossAx val="151358336"/>
        <c:crosses val="autoZero"/>
        <c:crossBetween val="midCat"/>
        <c:majorUnit val="0.02"/>
      </c:valAx>
      <c:valAx>
        <c:axId val="151358336"/>
        <c:scaling>
          <c:orientation val="minMax"/>
          <c:max val="-400"/>
          <c:min val="-1700"/>
        </c:scaling>
        <c:delete val="0"/>
        <c:axPos val="l"/>
        <c:title>
          <c:tx>
            <c:rich>
              <a:bodyPr/>
              <a:lstStyle/>
              <a:p>
                <a:pPr>
                  <a:defRPr/>
                </a:pPr>
                <a:r>
                  <a:rPr lang="en-US"/>
                  <a:t>Valor Presente Liquido</a:t>
                </a:r>
              </a:p>
            </c:rich>
          </c:tx>
          <c:overlay val="0"/>
        </c:title>
        <c:numFmt formatCode="_(&quot;R$&quot;* #,##0.00_);_(&quot;R$&quot;* \(#,##0.00\);_(&quot;R$&quot;* &quot;-&quot;??_);_(@_)" sourceLinked="1"/>
        <c:majorTickMark val="out"/>
        <c:minorTickMark val="none"/>
        <c:tickLblPos val="nextTo"/>
        <c:crossAx val="151357160"/>
        <c:crosses val="autoZero"/>
        <c:crossBetween val="midCat"/>
        <c:majorUnit val="100"/>
      </c:valAx>
    </c:plotArea>
    <c:legend>
      <c:legendPos val="r"/>
      <c:layout>
        <c:manualLayout>
          <c:xMode val="edge"/>
          <c:yMode val="edge"/>
          <c:x val="0.30267769512167902"/>
          <c:y val="4.9769685039370098E-2"/>
          <c:w val="0.39987187994914197"/>
          <c:h val="5.32384076990376E-2"/>
        </c:manualLayout>
      </c:layout>
      <c:overlay val="0"/>
    </c:legend>
    <c:plotVisOnly val="1"/>
    <c:dispBlanksAs val="gap"/>
    <c:showDLblsOverMax val="0"/>
  </c:chart>
  <c:printSettings>
    <c:headerFooter/>
    <c:pageMargins b="1" l="0.75" r="0.75" t="1"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6559621132698399"/>
          <c:y val="0.16944444444444401"/>
          <c:w val="0.78119451384086902"/>
          <c:h val="0.79722222222222205"/>
        </c:manualLayout>
      </c:layout>
      <c:scatterChart>
        <c:scatterStyle val="smoothMarker"/>
        <c:varyColors val="0"/>
        <c:ser>
          <c:idx val="0"/>
          <c:order val="0"/>
          <c:tx>
            <c:strRef>
              <c:f>'Capítulo 3'!$F$254</c:f>
              <c:strCache>
                <c:ptCount val="1"/>
                <c:pt idx="0">
                  <c:v>VPLchuveiro</c:v>
                </c:pt>
              </c:strCache>
            </c:strRef>
          </c:tx>
          <c:spPr>
            <a:ln w="19050" cmpd="sng">
              <a:solidFill>
                <a:srgbClr val="3366FF"/>
              </a:solidFill>
            </a:ln>
          </c:spPr>
          <c:marker>
            <c:symbol val="none"/>
          </c:marker>
          <c:xVal>
            <c:numRef>
              <c:f>'Capítulo 3'!$E$255:$E$295</c:f>
              <c:numCache>
                <c:formatCode>0%</c:formatCode>
                <c:ptCount val="41"/>
                <c:pt idx="0">
                  <c:v>0.1</c:v>
                </c:pt>
                <c:pt idx="1">
                  <c:v>0.11</c:v>
                </c:pt>
                <c:pt idx="2">
                  <c:v>0.12</c:v>
                </c:pt>
                <c:pt idx="3">
                  <c:v>0.13</c:v>
                </c:pt>
                <c:pt idx="4">
                  <c:v>0.14000000000000001</c:v>
                </c:pt>
                <c:pt idx="5">
                  <c:v>0.15000000000000002</c:v>
                </c:pt>
                <c:pt idx="6">
                  <c:v>0.16000000000000003</c:v>
                </c:pt>
                <c:pt idx="7">
                  <c:v>0.17000000000000004</c:v>
                </c:pt>
                <c:pt idx="8">
                  <c:v>0.18000000000000005</c:v>
                </c:pt>
                <c:pt idx="9">
                  <c:v>0.19000000000000006</c:v>
                </c:pt>
                <c:pt idx="10">
                  <c:v>0.20000000000000007</c:v>
                </c:pt>
                <c:pt idx="11">
                  <c:v>0.21000000000000008</c:v>
                </c:pt>
                <c:pt idx="12">
                  <c:v>0.22000000000000008</c:v>
                </c:pt>
                <c:pt idx="13">
                  <c:v>0.23000000000000009</c:v>
                </c:pt>
                <c:pt idx="14">
                  <c:v>0.2400000000000001</c:v>
                </c:pt>
                <c:pt idx="15">
                  <c:v>0.25000000000000011</c:v>
                </c:pt>
                <c:pt idx="16">
                  <c:v>0.26000000000000012</c:v>
                </c:pt>
                <c:pt idx="17">
                  <c:v>0.27000000000000013</c:v>
                </c:pt>
                <c:pt idx="18">
                  <c:v>0.28000000000000014</c:v>
                </c:pt>
                <c:pt idx="19">
                  <c:v>0.29000000000000015</c:v>
                </c:pt>
                <c:pt idx="20">
                  <c:v>0.30000000000000016</c:v>
                </c:pt>
                <c:pt idx="21">
                  <c:v>0.31000000000000016</c:v>
                </c:pt>
                <c:pt idx="22">
                  <c:v>0.32000000000000017</c:v>
                </c:pt>
                <c:pt idx="23">
                  <c:v>0.33000000000000018</c:v>
                </c:pt>
                <c:pt idx="24">
                  <c:v>0.34000000000000019</c:v>
                </c:pt>
                <c:pt idx="25">
                  <c:v>0.3500000000000002</c:v>
                </c:pt>
                <c:pt idx="26">
                  <c:v>0.36000000000000021</c:v>
                </c:pt>
                <c:pt idx="27">
                  <c:v>0.37</c:v>
                </c:pt>
                <c:pt idx="28">
                  <c:v>0.38</c:v>
                </c:pt>
                <c:pt idx="29">
                  <c:v>0.39</c:v>
                </c:pt>
                <c:pt idx="30">
                  <c:v>0.4</c:v>
                </c:pt>
                <c:pt idx="31">
                  <c:v>0.41000000000000003</c:v>
                </c:pt>
                <c:pt idx="32">
                  <c:v>0.42000000000000004</c:v>
                </c:pt>
                <c:pt idx="33">
                  <c:v>0.43000000000000005</c:v>
                </c:pt>
                <c:pt idx="34">
                  <c:v>0.44000000000000006</c:v>
                </c:pt>
                <c:pt idx="35">
                  <c:v>0.45000000000000007</c:v>
                </c:pt>
                <c:pt idx="36">
                  <c:v>0.46000000000000008</c:v>
                </c:pt>
                <c:pt idx="37">
                  <c:v>0.47000000000000008</c:v>
                </c:pt>
                <c:pt idx="38">
                  <c:v>0.48000000000000009</c:v>
                </c:pt>
                <c:pt idx="39">
                  <c:v>0.4900000000000001</c:v>
                </c:pt>
                <c:pt idx="40">
                  <c:v>0.50000000000000011</c:v>
                </c:pt>
              </c:numCache>
            </c:numRef>
          </c:xVal>
          <c:yVal>
            <c:numRef>
              <c:f>'Capítulo 3'!$F$255:$F$295</c:f>
              <c:numCache>
                <c:formatCode>_("R$"* #,##0.00_);_("R$"* \(#,##0.00\);_("R$"* "-"??_);_(@_)</c:formatCode>
                <c:ptCount val="41"/>
                <c:pt idx="0">
                  <c:v>-1654.4630972029115</c:v>
                </c:pt>
                <c:pt idx="1">
                  <c:v>-1555.3546605001213</c:v>
                </c:pt>
                <c:pt idx="2">
                  <c:v>-1466.396185613886</c:v>
                </c:pt>
                <c:pt idx="3">
                  <c:v>-1386.2982542408893</c:v>
                </c:pt>
                <c:pt idx="4">
                  <c:v>-1313.9582749570627</c:v>
                </c:pt>
                <c:pt idx="5">
                  <c:v>-1248.4307850481846</c:v>
                </c:pt>
                <c:pt idx="6">
                  <c:v>-1188.9028228273639</c:v>
                </c:pt>
                <c:pt idx="7">
                  <c:v>-1134.6734525982554</c:v>
                </c:pt>
                <c:pt idx="8">
                  <c:v>-1085.1366990626746</c:v>
                </c:pt>
                <c:pt idx="9">
                  <c:v>-1039.7672878954045</c:v>
                </c:pt>
                <c:pt idx="10">
                  <c:v>-998.10870159388674</c:v>
                </c:pt>
                <c:pt idx="11">
                  <c:v>-959.76315019633034</c:v>
                </c:pt>
                <c:pt idx="12">
                  <c:v>-924.38312949007582</c:v>
                </c:pt>
                <c:pt idx="13">
                  <c:v>-891.66429841106401</c:v>
                </c:pt>
                <c:pt idx="14">
                  <c:v>-861.3394552408995</c:v>
                </c:pt>
                <c:pt idx="15">
                  <c:v>-833.1734311436087</c:v>
                </c:pt>
                <c:pt idx="16">
                  <c:v>-806.95875130131083</c:v>
                </c:pt>
                <c:pt idx="17">
                  <c:v>-782.51193980350013</c:v>
                </c:pt>
                <c:pt idx="18">
                  <c:v>-759.67036563393447</c:v>
                </c:pt>
                <c:pt idx="19">
                  <c:v>-738.28954447599028</c:v>
                </c:pt>
                <c:pt idx="20">
                  <c:v>-718.24082533851697</c:v>
                </c:pt>
                <c:pt idx="21">
                  <c:v>-699.40940276673837</c:v>
                </c:pt>
                <c:pt idx="22">
                  <c:v>-681.69260511119785</c:v>
                </c:pt>
                <c:pt idx="23">
                  <c:v>-664.99841735790767</c:v>
                </c:pt>
                <c:pt idx="24">
                  <c:v>-649.24420367851758</c:v>
                </c:pt>
                <c:pt idx="25">
                  <c:v>-634.3556003872734</c:v>
                </c:pt>
                <c:pt idx="26">
                  <c:v>-620.26555459203473</c:v>
                </c:pt>
                <c:pt idx="27">
                  <c:v>-606.91348766317378</c:v>
                </c:pt>
                <c:pt idx="28">
                  <c:v>-594.24456584984796</c:v>
                </c:pt>
                <c:pt idx="29">
                  <c:v>-582.20906305708809</c:v>
                </c:pt>
                <c:pt idx="30">
                  <c:v>-570.76180304858622</c:v>
                </c:pt>
                <c:pt idx="31">
                  <c:v>-559.8616702323593</c:v>
                </c:pt>
                <c:pt idx="32">
                  <c:v>-549.47117977998573</c:v>
                </c:pt>
                <c:pt idx="33">
                  <c:v>-539.55609917448021</c:v>
                </c:pt>
                <c:pt idx="34">
                  <c:v>-530.08511441826408</c:v>
                </c:pt>
                <c:pt idx="35">
                  <c:v>-521.02953509495751</c:v>
                </c:pt>
                <c:pt idx="36">
                  <c:v>-512.36303329513987</c:v>
                </c:pt>
                <c:pt idx="37">
                  <c:v>-504.06141211004052</c:v>
                </c:pt>
                <c:pt idx="38">
                  <c:v>-496.10239998792503</c:v>
                </c:pt>
                <c:pt idx="39">
                  <c:v>-488.46546775179439</c:v>
                </c:pt>
                <c:pt idx="40">
                  <c:v>-481.13166550758575</c:v>
                </c:pt>
              </c:numCache>
            </c:numRef>
          </c:yVal>
          <c:smooth val="1"/>
          <c:extLst>
            <c:ext xmlns:c16="http://schemas.microsoft.com/office/drawing/2014/chart" uri="{C3380CC4-5D6E-409C-BE32-E72D297353CC}">
              <c16:uniqueId val="{00000000-4896-4803-A81A-661BAAAE8610}"/>
            </c:ext>
          </c:extLst>
        </c:ser>
        <c:ser>
          <c:idx val="1"/>
          <c:order val="1"/>
          <c:tx>
            <c:strRef>
              <c:f>'Capítulo 3'!$G$254</c:f>
              <c:strCache>
                <c:ptCount val="1"/>
                <c:pt idx="0">
                  <c:v>VPLpré-aquec.</c:v>
                </c:pt>
              </c:strCache>
            </c:strRef>
          </c:tx>
          <c:spPr>
            <a:ln w="19050" cmpd="sng">
              <a:solidFill>
                <a:srgbClr val="FF0000"/>
              </a:solidFill>
            </a:ln>
          </c:spPr>
          <c:marker>
            <c:symbol val="none"/>
          </c:marker>
          <c:xVal>
            <c:numRef>
              <c:f>'Capítulo 3'!$E$255:$E$295</c:f>
              <c:numCache>
                <c:formatCode>0%</c:formatCode>
                <c:ptCount val="41"/>
                <c:pt idx="0">
                  <c:v>0.1</c:v>
                </c:pt>
                <c:pt idx="1">
                  <c:v>0.11</c:v>
                </c:pt>
                <c:pt idx="2">
                  <c:v>0.12</c:v>
                </c:pt>
                <c:pt idx="3">
                  <c:v>0.13</c:v>
                </c:pt>
                <c:pt idx="4">
                  <c:v>0.14000000000000001</c:v>
                </c:pt>
                <c:pt idx="5">
                  <c:v>0.15000000000000002</c:v>
                </c:pt>
                <c:pt idx="6">
                  <c:v>0.16000000000000003</c:v>
                </c:pt>
                <c:pt idx="7">
                  <c:v>0.17000000000000004</c:v>
                </c:pt>
                <c:pt idx="8">
                  <c:v>0.18000000000000005</c:v>
                </c:pt>
                <c:pt idx="9">
                  <c:v>0.19000000000000006</c:v>
                </c:pt>
                <c:pt idx="10">
                  <c:v>0.20000000000000007</c:v>
                </c:pt>
                <c:pt idx="11">
                  <c:v>0.21000000000000008</c:v>
                </c:pt>
                <c:pt idx="12">
                  <c:v>0.22000000000000008</c:v>
                </c:pt>
                <c:pt idx="13">
                  <c:v>0.23000000000000009</c:v>
                </c:pt>
                <c:pt idx="14">
                  <c:v>0.2400000000000001</c:v>
                </c:pt>
                <c:pt idx="15">
                  <c:v>0.25000000000000011</c:v>
                </c:pt>
                <c:pt idx="16">
                  <c:v>0.26000000000000012</c:v>
                </c:pt>
                <c:pt idx="17">
                  <c:v>0.27000000000000013</c:v>
                </c:pt>
                <c:pt idx="18">
                  <c:v>0.28000000000000014</c:v>
                </c:pt>
                <c:pt idx="19">
                  <c:v>0.29000000000000015</c:v>
                </c:pt>
                <c:pt idx="20">
                  <c:v>0.30000000000000016</c:v>
                </c:pt>
                <c:pt idx="21">
                  <c:v>0.31000000000000016</c:v>
                </c:pt>
                <c:pt idx="22">
                  <c:v>0.32000000000000017</c:v>
                </c:pt>
                <c:pt idx="23">
                  <c:v>0.33000000000000018</c:v>
                </c:pt>
                <c:pt idx="24">
                  <c:v>0.34000000000000019</c:v>
                </c:pt>
                <c:pt idx="25">
                  <c:v>0.3500000000000002</c:v>
                </c:pt>
                <c:pt idx="26">
                  <c:v>0.36000000000000021</c:v>
                </c:pt>
                <c:pt idx="27">
                  <c:v>0.37</c:v>
                </c:pt>
                <c:pt idx="28">
                  <c:v>0.38</c:v>
                </c:pt>
                <c:pt idx="29">
                  <c:v>0.39</c:v>
                </c:pt>
                <c:pt idx="30">
                  <c:v>0.4</c:v>
                </c:pt>
                <c:pt idx="31">
                  <c:v>0.41000000000000003</c:v>
                </c:pt>
                <c:pt idx="32">
                  <c:v>0.42000000000000004</c:v>
                </c:pt>
                <c:pt idx="33">
                  <c:v>0.43000000000000005</c:v>
                </c:pt>
                <c:pt idx="34">
                  <c:v>0.44000000000000006</c:v>
                </c:pt>
                <c:pt idx="35">
                  <c:v>0.45000000000000007</c:v>
                </c:pt>
                <c:pt idx="36">
                  <c:v>0.46000000000000008</c:v>
                </c:pt>
                <c:pt idx="37">
                  <c:v>0.47000000000000008</c:v>
                </c:pt>
                <c:pt idx="38">
                  <c:v>0.48000000000000009</c:v>
                </c:pt>
                <c:pt idx="39">
                  <c:v>0.4900000000000001</c:v>
                </c:pt>
                <c:pt idx="40">
                  <c:v>0.50000000000000011</c:v>
                </c:pt>
              </c:numCache>
            </c:numRef>
          </c:xVal>
          <c:yVal>
            <c:numRef>
              <c:f>'Capítulo 3'!$G$255:$G$295</c:f>
              <c:numCache>
                <c:formatCode>_("R$"* #,##0.00_);_("R$"* \(#,##0.00\);_("R$"* "-"??_);_(@_)</c:formatCode>
                <c:ptCount val="41"/>
                <c:pt idx="0">
                  <c:v>-766.4929985780982</c:v>
                </c:pt>
                <c:pt idx="1">
                  <c:v>-751.40223694690394</c:v>
                </c:pt>
                <c:pt idx="2">
                  <c:v>-737.8569608408086</c:v>
                </c:pt>
                <c:pt idx="3">
                  <c:v>-725.66083677998358</c:v>
                </c:pt>
                <c:pt idx="4">
                  <c:v>-714.64597850861878</c:v>
                </c:pt>
                <c:pt idx="5">
                  <c:v>-704.66842499850941</c:v>
                </c:pt>
                <c:pt idx="6">
                  <c:v>-695.60439051112189</c:v>
                </c:pt>
                <c:pt idx="7">
                  <c:v>-687.34714696291212</c:v>
                </c:pt>
                <c:pt idx="8">
                  <c:v>-679.80442543022934</c:v>
                </c:pt>
                <c:pt idx="9">
                  <c:v>-672.89624493570591</c:v>
                </c:pt>
                <c:pt idx="10">
                  <c:v>-666.55309377034155</c:v>
                </c:pt>
                <c:pt idx="11">
                  <c:v>-660.71440238332536</c:v>
                </c:pt>
                <c:pt idx="12">
                  <c:v>-655.32725799131026</c:v>
                </c:pt>
                <c:pt idx="13">
                  <c:v>-650.34532005452945</c:v>
                </c:pt>
                <c:pt idx="14">
                  <c:v>-645.72790306149739</c:v>
                </c:pt>
                <c:pt idx="15">
                  <c:v>-641.43919899258617</c:v>
                </c:pt>
                <c:pt idx="16">
                  <c:v>-637.44761666216834</c:v>
                </c:pt>
                <c:pt idx="17">
                  <c:v>-633.72521908200531</c:v>
                </c:pt>
                <c:pt idx="18">
                  <c:v>-630.24724321494716</c:v>
                </c:pt>
                <c:pt idx="19">
                  <c:v>-626.99168913390247</c:v>
                </c:pt>
                <c:pt idx="20">
                  <c:v>-623.93896777556165</c:v>
                </c:pt>
                <c:pt idx="21">
                  <c:v>-621.07159826937914</c:v>
                </c:pt>
                <c:pt idx="22">
                  <c:v>-618.37394730057588</c:v>
                </c:pt>
                <c:pt idx="23">
                  <c:v>-615.83200418864078</c:v>
                </c:pt>
                <c:pt idx="24">
                  <c:v>-613.43318637623258</c:v>
                </c:pt>
                <c:pt idx="25">
                  <c:v>-611.16617086509746</c:v>
                </c:pt>
                <c:pt idx="26">
                  <c:v>-609.02074783611556</c:v>
                </c:pt>
                <c:pt idx="27">
                  <c:v>-606.98769327476236</c:v>
                </c:pt>
                <c:pt idx="28">
                  <c:v>-605.05865791138092</c:v>
                </c:pt>
                <c:pt idx="29">
                  <c:v>-603.22607019433542</c:v>
                </c:pt>
                <c:pt idx="30">
                  <c:v>-601.4830513569317</c:v>
                </c:pt>
                <c:pt idx="31">
                  <c:v>-599.82334092711903</c:v>
                </c:pt>
                <c:pt idx="32">
                  <c:v>-598.24123127162943</c:v>
                </c:pt>
                <c:pt idx="33">
                  <c:v>-596.73150997090443</c:v>
                </c:pt>
                <c:pt idx="34">
                  <c:v>-595.28940899420002</c:v>
                </c:pt>
                <c:pt idx="35">
                  <c:v>-593.91055979077453</c:v>
                </c:pt>
                <c:pt idx="36">
                  <c:v>-592.59095353737791</c:v>
                </c:pt>
                <c:pt idx="37">
                  <c:v>-591.32690588790797</c:v>
                </c:pt>
                <c:pt idx="38">
                  <c:v>-590.11502566105275</c:v>
                </c:pt>
                <c:pt idx="39">
                  <c:v>-588.95218697846281</c:v>
                </c:pt>
                <c:pt idx="40">
                  <c:v>-587.8355044315515</c:v>
                </c:pt>
              </c:numCache>
            </c:numRef>
          </c:yVal>
          <c:smooth val="1"/>
          <c:extLst>
            <c:ext xmlns:c16="http://schemas.microsoft.com/office/drawing/2014/chart" uri="{C3380CC4-5D6E-409C-BE32-E72D297353CC}">
              <c16:uniqueId val="{00000001-4896-4803-A81A-661BAAAE8610}"/>
            </c:ext>
          </c:extLst>
        </c:ser>
        <c:dLbls>
          <c:showLegendKey val="0"/>
          <c:showVal val="0"/>
          <c:showCatName val="0"/>
          <c:showSerName val="0"/>
          <c:showPercent val="0"/>
          <c:showBubbleSize val="0"/>
        </c:dLbls>
        <c:axId val="151361472"/>
        <c:axId val="151359120"/>
      </c:scatterChart>
      <c:valAx>
        <c:axId val="151361472"/>
        <c:scaling>
          <c:orientation val="minMax"/>
          <c:max val="0.5"/>
          <c:min val="0.1"/>
        </c:scaling>
        <c:delete val="0"/>
        <c:axPos val="b"/>
        <c:majorGridlines>
          <c:spPr>
            <a:ln w="3175" cmpd="sng"/>
          </c:spPr>
        </c:majorGridlines>
        <c:title>
          <c:tx>
            <c:rich>
              <a:bodyPr/>
              <a:lstStyle/>
              <a:p>
                <a:pPr>
                  <a:defRPr/>
                </a:pPr>
                <a:r>
                  <a:rPr lang="en-US"/>
                  <a:t>Taxa</a:t>
                </a:r>
                <a:r>
                  <a:rPr lang="en-US" baseline="0"/>
                  <a:t> de Desconto</a:t>
                </a:r>
                <a:endParaRPr lang="en-US"/>
              </a:p>
            </c:rich>
          </c:tx>
          <c:layout>
            <c:manualLayout>
              <c:xMode val="edge"/>
              <c:yMode val="edge"/>
              <c:x val="0.41186595213133798"/>
              <c:y val="5.5555555555555497E-3"/>
            </c:manualLayout>
          </c:layout>
          <c:overlay val="0"/>
        </c:title>
        <c:numFmt formatCode="0%" sourceLinked="1"/>
        <c:majorTickMark val="cross"/>
        <c:minorTickMark val="none"/>
        <c:tickLblPos val="high"/>
        <c:crossAx val="151359120"/>
        <c:crosses val="autoZero"/>
        <c:crossBetween val="midCat"/>
        <c:majorUnit val="0.02"/>
      </c:valAx>
      <c:valAx>
        <c:axId val="151359120"/>
        <c:scaling>
          <c:orientation val="minMax"/>
          <c:max val="-400"/>
          <c:min val="-1700"/>
        </c:scaling>
        <c:delete val="0"/>
        <c:axPos val="l"/>
        <c:title>
          <c:tx>
            <c:rich>
              <a:bodyPr/>
              <a:lstStyle/>
              <a:p>
                <a:pPr>
                  <a:defRPr/>
                </a:pPr>
                <a:r>
                  <a:rPr lang="en-US"/>
                  <a:t>Valor Presente Líquido</a:t>
                </a:r>
              </a:p>
            </c:rich>
          </c:tx>
          <c:overlay val="0"/>
        </c:title>
        <c:numFmt formatCode="_(&quot;R$&quot;* #,##0.00_);_(&quot;R$&quot;* \(#,##0.00\);_(&quot;R$&quot;* &quot;-&quot;??_);_(@_)" sourceLinked="1"/>
        <c:majorTickMark val="out"/>
        <c:minorTickMark val="none"/>
        <c:tickLblPos val="nextTo"/>
        <c:crossAx val="151361472"/>
        <c:crosses val="autoZero"/>
        <c:crossBetween val="midCat"/>
        <c:majorUnit val="100"/>
      </c:valAx>
    </c:plotArea>
    <c:legend>
      <c:legendPos val="r"/>
      <c:layout>
        <c:manualLayout>
          <c:xMode val="edge"/>
          <c:yMode val="edge"/>
          <c:x val="0.30267769512167902"/>
          <c:y val="4.9769685039370098E-2"/>
          <c:w val="0.39987187994914197"/>
          <c:h val="5.32384076990376E-2"/>
        </c:manualLayout>
      </c:layout>
      <c:overlay val="0"/>
    </c:legend>
    <c:plotVisOnly val="1"/>
    <c:dispBlanksAs val="gap"/>
    <c:showDLblsOverMax val="0"/>
  </c:chart>
  <c:printSettings>
    <c:headerFooter/>
    <c:pageMargins b="1" l="0.75" r="0.75" t="1"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5545345807788799"/>
          <c:y val="0.170886075949367"/>
          <c:w val="0.71083681998237302"/>
          <c:h val="0.787974683544304"/>
        </c:manualLayout>
      </c:layout>
      <c:scatterChart>
        <c:scatterStyle val="smoothMarker"/>
        <c:varyColors val="0"/>
        <c:ser>
          <c:idx val="1"/>
          <c:order val="1"/>
          <c:tx>
            <c:strRef>
              <c:f>'Capítulo 3'!$K$445:$K$446</c:f>
              <c:strCache>
                <c:ptCount val="2"/>
                <c:pt idx="0">
                  <c:v>Análise da Economia Líquida em GLD</c:v>
                </c:pt>
                <c:pt idx="1">
                  <c:v>CE</c:v>
                </c:pt>
              </c:strCache>
            </c:strRef>
          </c:tx>
          <c:spPr>
            <a:ln w="28575" cmpd="sng">
              <a:solidFill>
                <a:srgbClr val="FF0000"/>
              </a:solidFill>
            </a:ln>
          </c:spPr>
          <c:marker>
            <c:symbol val="none"/>
          </c:marker>
          <c:xVal>
            <c:numRef>
              <c:f>'Capítulo 3'!$I$447:$I$461</c:f>
              <c:numCache>
                <c:formatCode>0.0%</c:formatCode>
                <c:ptCount val="15"/>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0.54999999999999993</c:v>
                </c:pt>
                <c:pt idx="12">
                  <c:v>0.6</c:v>
                </c:pt>
                <c:pt idx="13">
                  <c:v>0.65</c:v>
                </c:pt>
                <c:pt idx="14">
                  <c:v>0.70000000000000007</c:v>
                </c:pt>
              </c:numCache>
            </c:numRef>
          </c:xVal>
          <c:yVal>
            <c:numRef>
              <c:f>'Capítulo 3'!$K$447:$K$461</c:f>
              <c:numCache>
                <c:formatCode>"R$"#,##0.00_);[Red]\("R$"#,##0.00\)</c:formatCode>
                <c:ptCount val="15"/>
                <c:pt idx="0">
                  <c:v>31864</c:v>
                </c:pt>
                <c:pt idx="1">
                  <c:v>23283.98091846973</c:v>
                </c:pt>
                <c:pt idx="2">
                  <c:v>14192.097819855524</c:v>
                </c:pt>
                <c:pt idx="3">
                  <c:v>4630.5919681566593</c:v>
                </c:pt>
                <c:pt idx="4">
                  <c:v>-5359.1778112234024</c:v>
                </c:pt>
                <c:pt idx="5">
                  <c:v>-15737.546882436931</c:v>
                </c:pt>
                <c:pt idx="6">
                  <c:v>-26467.088896506742</c:v>
                </c:pt>
                <c:pt idx="7">
                  <c:v>-37512.943035761244</c:v>
                </c:pt>
                <c:pt idx="8">
                  <c:v>-48842.972664815083</c:v>
                </c:pt>
                <c:pt idx="9">
                  <c:v>-60427.798092085053</c:v>
                </c:pt>
                <c:pt idx="10">
                  <c:v>-72240.739336492843</c:v>
                </c:pt>
                <c:pt idx="11">
                  <c:v>-84257.697867537907</c:v>
                </c:pt>
                <c:pt idx="12">
                  <c:v>-96456.99989879565</c:v>
                </c:pt>
                <c:pt idx="13">
                  <c:v>-108819.21828148645</c:v>
                </c:pt>
                <c:pt idx="14">
                  <c:v>-121326.98546281908</c:v>
                </c:pt>
              </c:numCache>
            </c:numRef>
          </c:yVal>
          <c:smooth val="1"/>
          <c:extLst>
            <c:ext xmlns:c16="http://schemas.microsoft.com/office/drawing/2014/chart" uri="{C3380CC4-5D6E-409C-BE32-E72D297353CC}">
              <c16:uniqueId val="{00000000-6A91-46EF-90BF-20D46BFFCCC8}"/>
            </c:ext>
          </c:extLst>
        </c:ser>
        <c:dLbls>
          <c:showLegendKey val="0"/>
          <c:showVal val="0"/>
          <c:showCatName val="0"/>
          <c:showSerName val="0"/>
          <c:showPercent val="0"/>
          <c:showBubbleSize val="0"/>
        </c:dLbls>
        <c:axId val="152901360"/>
        <c:axId val="152900968"/>
      </c:scatterChart>
      <c:scatterChart>
        <c:scatterStyle val="smoothMarker"/>
        <c:varyColors val="0"/>
        <c:ser>
          <c:idx val="0"/>
          <c:order val="0"/>
          <c:tx>
            <c:strRef>
              <c:f>'Capítulo 3'!$J$445:$J$446</c:f>
              <c:strCache>
                <c:ptCount val="2"/>
                <c:pt idx="0">
                  <c:v>Análise da Economia Líquida em GLD</c:v>
                </c:pt>
                <c:pt idx="1">
                  <c:v>Consumidor</c:v>
                </c:pt>
              </c:strCache>
            </c:strRef>
          </c:tx>
          <c:spPr>
            <a:ln w="28575" cmpd="sng">
              <a:solidFill>
                <a:srgbClr val="3366FF"/>
              </a:solidFill>
            </a:ln>
          </c:spPr>
          <c:marker>
            <c:symbol val="none"/>
          </c:marker>
          <c:xVal>
            <c:numRef>
              <c:f>'Capítulo 3'!$I$447:$I$461</c:f>
              <c:numCache>
                <c:formatCode>0.0%</c:formatCode>
                <c:ptCount val="15"/>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0.54999999999999993</c:v>
                </c:pt>
                <c:pt idx="12">
                  <c:v>0.6</c:v>
                </c:pt>
                <c:pt idx="13">
                  <c:v>0.65</c:v>
                </c:pt>
                <c:pt idx="14">
                  <c:v>0.70000000000000007</c:v>
                </c:pt>
              </c:numCache>
            </c:numRef>
          </c:xVal>
          <c:yVal>
            <c:numRef>
              <c:f>'Capítulo 3'!$J$447:$J$461</c:f>
              <c:numCache>
                <c:formatCode>"R$"#,##0.00_);[Red]\("R$"#,##0.00\)</c:formatCode>
                <c:ptCount val="15"/>
                <c:pt idx="0">
                  <c:v>30.959999999999994</c:v>
                </c:pt>
                <c:pt idx="1">
                  <c:v>29.101512112303908</c:v>
                </c:pt>
                <c:pt idx="2">
                  <c:v>27.13215115231527</c:v>
                </c:pt>
                <c:pt idx="3">
                  <c:v>25.061066852308294</c:v>
                </c:pt>
                <c:pt idx="4">
                  <c:v>22.897217802623086</c:v>
                </c:pt>
                <c:pt idx="5">
                  <c:v>20.64919562113279</c:v>
                </c:pt>
                <c:pt idx="6">
                  <c:v>18.325107098229584</c:v>
                </c:pt>
                <c:pt idx="7">
                  <c:v>15.932503313553514</c:v>
                </c:pt>
                <c:pt idx="8">
                  <c:v>13.478345271159185</c:v>
                </c:pt>
                <c:pt idx="9">
                  <c:v>10.968996803158468</c:v>
                </c:pt>
                <c:pt idx="10">
                  <c:v>8.4102369668246482</c:v>
                </c:pt>
                <c:pt idx="11">
                  <c:v>5.8072856604610976</c:v>
                </c:pt>
                <c:pt idx="12">
                  <c:v>3.1648375670478615</c:v>
                </c:pt>
                <c:pt idx="13">
                  <c:v>0.48710073325202075</c:v>
                </c:pt>
                <c:pt idx="14">
                  <c:v>-2.2221629161341099</c:v>
                </c:pt>
              </c:numCache>
            </c:numRef>
          </c:yVal>
          <c:smooth val="1"/>
          <c:extLst>
            <c:ext xmlns:c16="http://schemas.microsoft.com/office/drawing/2014/chart" uri="{C3380CC4-5D6E-409C-BE32-E72D297353CC}">
              <c16:uniqueId val="{00000001-6A91-46EF-90BF-20D46BFFCCC8}"/>
            </c:ext>
          </c:extLst>
        </c:ser>
        <c:dLbls>
          <c:showLegendKey val="0"/>
          <c:showVal val="0"/>
          <c:showCatName val="0"/>
          <c:showSerName val="0"/>
          <c:showPercent val="0"/>
          <c:showBubbleSize val="0"/>
        </c:dLbls>
        <c:axId val="152900184"/>
        <c:axId val="152903712"/>
      </c:scatterChart>
      <c:valAx>
        <c:axId val="152901360"/>
        <c:scaling>
          <c:orientation val="minMax"/>
          <c:max val="0.7"/>
        </c:scaling>
        <c:delete val="0"/>
        <c:axPos val="b"/>
        <c:majorGridlines/>
        <c:numFmt formatCode="0.0%" sourceLinked="1"/>
        <c:majorTickMark val="out"/>
        <c:minorTickMark val="none"/>
        <c:tickLblPos val="high"/>
        <c:crossAx val="152900968"/>
        <c:crosses val="autoZero"/>
        <c:crossBetween val="midCat"/>
      </c:valAx>
      <c:valAx>
        <c:axId val="152900968"/>
        <c:scaling>
          <c:orientation val="minMax"/>
        </c:scaling>
        <c:delete val="0"/>
        <c:axPos val="l"/>
        <c:majorGridlines/>
        <c:title>
          <c:tx>
            <c:rich>
              <a:bodyPr rot="-5400000" vert="horz"/>
              <a:lstStyle/>
              <a:p>
                <a:pPr>
                  <a:defRPr/>
                </a:pPr>
                <a:r>
                  <a:rPr lang="en-US"/>
                  <a:t>CE</a:t>
                </a:r>
              </a:p>
            </c:rich>
          </c:tx>
          <c:overlay val="0"/>
        </c:title>
        <c:numFmt formatCode="&quot;R$&quot;#,##0.00_);[Red]\(&quot;R$&quot;#,##0.00\)" sourceLinked="1"/>
        <c:majorTickMark val="out"/>
        <c:minorTickMark val="none"/>
        <c:tickLblPos val="nextTo"/>
        <c:crossAx val="152901360"/>
        <c:crosses val="autoZero"/>
        <c:crossBetween val="midCat"/>
      </c:valAx>
      <c:valAx>
        <c:axId val="152903712"/>
        <c:scaling>
          <c:orientation val="minMax"/>
        </c:scaling>
        <c:delete val="0"/>
        <c:axPos val="r"/>
        <c:title>
          <c:tx>
            <c:rich>
              <a:bodyPr rot="-5400000" vert="horz"/>
              <a:lstStyle/>
              <a:p>
                <a:pPr>
                  <a:defRPr/>
                </a:pPr>
                <a:r>
                  <a:rPr lang="en-US"/>
                  <a:t>Consumidor</a:t>
                </a:r>
              </a:p>
            </c:rich>
          </c:tx>
          <c:overlay val="0"/>
        </c:title>
        <c:numFmt formatCode="&quot;R$&quot;#,##0.00_);[Red]\(&quot;R$&quot;#,##0.00\)" sourceLinked="1"/>
        <c:majorTickMark val="out"/>
        <c:minorTickMark val="none"/>
        <c:tickLblPos val="nextTo"/>
        <c:crossAx val="152900184"/>
        <c:crosses val="max"/>
        <c:crossBetween val="midCat"/>
      </c:valAx>
      <c:valAx>
        <c:axId val="152900184"/>
        <c:scaling>
          <c:orientation val="minMax"/>
        </c:scaling>
        <c:delete val="1"/>
        <c:axPos val="b"/>
        <c:numFmt formatCode="0.0%" sourceLinked="1"/>
        <c:majorTickMark val="out"/>
        <c:minorTickMark val="none"/>
        <c:tickLblPos val="nextTo"/>
        <c:crossAx val="152903712"/>
        <c:crosses val="autoZero"/>
        <c:crossBetween val="midCat"/>
      </c:valAx>
    </c:plotArea>
    <c:legend>
      <c:legendPos val="r"/>
      <c:layout>
        <c:manualLayout>
          <c:xMode val="edge"/>
          <c:yMode val="edge"/>
          <c:x val="0.100244715580696"/>
          <c:y val="2.6397886972989101E-3"/>
          <c:w val="0.84271486720939504"/>
          <c:h val="9.5986245390212305E-2"/>
        </c:manualLayout>
      </c:layout>
      <c:overlay val="0"/>
    </c:legend>
    <c:plotVisOnly val="1"/>
    <c:dispBlanksAs val="gap"/>
    <c:showDLblsOverMax val="0"/>
  </c:chart>
  <c:printSettings>
    <c:headerFooter/>
    <c:pageMargins b="1" l="0.75" r="0.75"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scatterChart>
        <c:scatterStyle val="lineMarker"/>
        <c:varyColors val="0"/>
        <c:ser>
          <c:idx val="0"/>
          <c:order val="0"/>
          <c:tx>
            <c:strRef>
              <c:f>'Capítulo 4'!$L$235</c:f>
              <c:strCache>
                <c:ptCount val="1"/>
                <c:pt idx="0">
                  <c:v>Demanda</c:v>
                </c:pt>
              </c:strCache>
            </c:strRef>
          </c:tx>
          <c:xVal>
            <c:numRef>
              <c:f>'Capítulo 4'!$K$236:$K$259</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xVal>
          <c:yVal>
            <c:numRef>
              <c:f>'Capítulo 4'!$L$236:$L$259</c:f>
              <c:numCache>
                <c:formatCode>General</c:formatCode>
                <c:ptCount val="24"/>
                <c:pt idx="0">
                  <c:v>1</c:v>
                </c:pt>
                <c:pt idx="1">
                  <c:v>1</c:v>
                </c:pt>
                <c:pt idx="2">
                  <c:v>1</c:v>
                </c:pt>
                <c:pt idx="3">
                  <c:v>1</c:v>
                </c:pt>
                <c:pt idx="4">
                  <c:v>1</c:v>
                </c:pt>
                <c:pt idx="5">
                  <c:v>1</c:v>
                </c:pt>
                <c:pt idx="6">
                  <c:v>3</c:v>
                </c:pt>
                <c:pt idx="7">
                  <c:v>3</c:v>
                </c:pt>
                <c:pt idx="8">
                  <c:v>3</c:v>
                </c:pt>
                <c:pt idx="9">
                  <c:v>3</c:v>
                </c:pt>
                <c:pt idx="10">
                  <c:v>3</c:v>
                </c:pt>
                <c:pt idx="11">
                  <c:v>3</c:v>
                </c:pt>
                <c:pt idx="12">
                  <c:v>4</c:v>
                </c:pt>
                <c:pt idx="13">
                  <c:v>4</c:v>
                </c:pt>
                <c:pt idx="14">
                  <c:v>4</c:v>
                </c:pt>
                <c:pt idx="15">
                  <c:v>5</c:v>
                </c:pt>
                <c:pt idx="16">
                  <c:v>4.5</c:v>
                </c:pt>
                <c:pt idx="17">
                  <c:v>4.5</c:v>
                </c:pt>
                <c:pt idx="18">
                  <c:v>4.5</c:v>
                </c:pt>
                <c:pt idx="19">
                  <c:v>4.5</c:v>
                </c:pt>
                <c:pt idx="20">
                  <c:v>2.5</c:v>
                </c:pt>
                <c:pt idx="21">
                  <c:v>2.5</c:v>
                </c:pt>
                <c:pt idx="22">
                  <c:v>2.5</c:v>
                </c:pt>
                <c:pt idx="23">
                  <c:v>2.5</c:v>
                </c:pt>
              </c:numCache>
            </c:numRef>
          </c:yVal>
          <c:smooth val="0"/>
          <c:extLst>
            <c:ext xmlns:c16="http://schemas.microsoft.com/office/drawing/2014/chart" uri="{C3380CC4-5D6E-409C-BE32-E72D297353CC}">
              <c16:uniqueId val="{00000000-EF75-4132-A2D4-DFF3272282F1}"/>
            </c:ext>
          </c:extLst>
        </c:ser>
        <c:dLbls>
          <c:showLegendKey val="0"/>
          <c:showVal val="0"/>
          <c:showCatName val="0"/>
          <c:showSerName val="0"/>
          <c:showPercent val="0"/>
          <c:showBubbleSize val="0"/>
        </c:dLbls>
        <c:axId val="152905672"/>
        <c:axId val="152900576"/>
      </c:scatterChart>
      <c:valAx>
        <c:axId val="152905672"/>
        <c:scaling>
          <c:orientation val="minMax"/>
          <c:max val="24"/>
          <c:min val="0"/>
        </c:scaling>
        <c:delete val="0"/>
        <c:axPos val="b"/>
        <c:numFmt formatCode="General" sourceLinked="1"/>
        <c:majorTickMark val="out"/>
        <c:minorTickMark val="none"/>
        <c:tickLblPos val="nextTo"/>
        <c:crossAx val="152900576"/>
        <c:crosses val="autoZero"/>
        <c:crossBetween val="midCat"/>
        <c:majorUnit val="1"/>
      </c:valAx>
      <c:valAx>
        <c:axId val="152900576"/>
        <c:scaling>
          <c:orientation val="minMax"/>
          <c:max val="5"/>
        </c:scaling>
        <c:delete val="0"/>
        <c:axPos val="l"/>
        <c:majorGridlines/>
        <c:numFmt formatCode="General" sourceLinked="1"/>
        <c:majorTickMark val="out"/>
        <c:minorTickMark val="none"/>
        <c:tickLblPos val="nextTo"/>
        <c:crossAx val="152905672"/>
        <c:crosses val="autoZero"/>
        <c:crossBetween val="midCat"/>
      </c:valAx>
    </c:plotArea>
    <c:plotVisOnly val="1"/>
    <c:dispBlanksAs val="gap"/>
    <c:showDLblsOverMax val="0"/>
  </c:chart>
  <c:printSettings>
    <c:headerFooter/>
    <c:pageMargins b="1" l="0.75" r="0.7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7"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7.png"/><Relationship Id="rId1" Type="http://schemas.openxmlformats.org/officeDocument/2006/relationships/image" Target="../media/image6.png"/><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17.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5.wmf"/><Relationship Id="rId1" Type="http://schemas.openxmlformats.org/officeDocument/2006/relationships/image" Target="../media/image4.w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5.wmf"/><Relationship Id="rId3" Type="http://schemas.openxmlformats.org/officeDocument/2006/relationships/image" Target="../media/image10.wmf"/><Relationship Id="rId7" Type="http://schemas.openxmlformats.org/officeDocument/2006/relationships/image" Target="../media/image14.wmf"/><Relationship Id="rId2" Type="http://schemas.openxmlformats.org/officeDocument/2006/relationships/image" Target="../media/image9.wmf"/><Relationship Id="rId1" Type="http://schemas.openxmlformats.org/officeDocument/2006/relationships/image" Target="../media/image8.wmf"/><Relationship Id="rId6" Type="http://schemas.openxmlformats.org/officeDocument/2006/relationships/image" Target="../media/image13.wmf"/><Relationship Id="rId5" Type="http://schemas.openxmlformats.org/officeDocument/2006/relationships/image" Target="../media/image12.wmf"/><Relationship Id="rId4" Type="http://schemas.openxmlformats.org/officeDocument/2006/relationships/image" Target="../media/image11.wmf"/><Relationship Id="rId9" Type="http://schemas.openxmlformats.org/officeDocument/2006/relationships/image" Target="../media/image16.wmf"/></Relationships>
</file>

<file path=xl/drawings/drawing1.xml><?xml version="1.0" encoding="utf-8"?>
<xdr:wsDr xmlns:xdr="http://schemas.openxmlformats.org/drawingml/2006/spreadsheetDrawing" xmlns:a="http://schemas.openxmlformats.org/drawingml/2006/main">
  <xdr:twoCellAnchor>
    <xdr:from>
      <xdr:col>1</xdr:col>
      <xdr:colOff>336175</xdr:colOff>
      <xdr:row>127</xdr:row>
      <xdr:rowOff>168089</xdr:rowOff>
    </xdr:from>
    <xdr:to>
      <xdr:col>6</xdr:col>
      <xdr:colOff>616324</xdr:colOff>
      <xdr:row>134</xdr:row>
      <xdr:rowOff>89648</xdr:rowOff>
    </xdr:to>
    <xdr:grpSp>
      <xdr:nvGrpSpPr>
        <xdr:cNvPr id="30" name="Grupo 29">
          <a:extLst>
            <a:ext uri="{FF2B5EF4-FFF2-40B4-BE49-F238E27FC236}">
              <a16:creationId xmlns:a16="http://schemas.microsoft.com/office/drawing/2014/main" id="{00000000-0008-0000-0100-00001E000000}"/>
            </a:ext>
          </a:extLst>
        </xdr:cNvPr>
        <xdr:cNvGrpSpPr/>
      </xdr:nvGrpSpPr>
      <xdr:grpSpPr>
        <a:xfrm>
          <a:off x="1560818" y="28062732"/>
          <a:ext cx="7519149" cy="1295880"/>
          <a:chOff x="963705" y="25986441"/>
          <a:chExt cx="4123766" cy="1255059"/>
        </a:xfrm>
      </xdr:grpSpPr>
      <xdr:cxnSp macro="">
        <xdr:nvCxnSpPr>
          <xdr:cNvPr id="3" name="Conector reto 2">
            <a:extLst>
              <a:ext uri="{FF2B5EF4-FFF2-40B4-BE49-F238E27FC236}">
                <a16:creationId xmlns:a16="http://schemas.microsoft.com/office/drawing/2014/main" id="{00000000-0008-0000-0100-000003000000}"/>
              </a:ext>
            </a:extLst>
          </xdr:cNvPr>
          <xdr:cNvCxnSpPr/>
        </xdr:nvCxnSpPr>
        <xdr:spPr>
          <a:xfrm flipV="1">
            <a:off x="963706" y="26254975"/>
            <a:ext cx="4123765" cy="4305"/>
          </a:xfrm>
          <a:prstGeom prst="line">
            <a:avLst/>
          </a:prstGeom>
        </xdr:spPr>
        <xdr:style>
          <a:lnRef idx="2">
            <a:schemeClr val="accent1"/>
          </a:lnRef>
          <a:fillRef idx="0">
            <a:schemeClr val="accent1"/>
          </a:fillRef>
          <a:effectRef idx="1">
            <a:schemeClr val="accent1"/>
          </a:effectRef>
          <a:fontRef idx="minor">
            <a:schemeClr val="tx1"/>
          </a:fontRef>
        </xdr:style>
      </xdr:cxnSp>
      <xdr:cxnSp macro="">
        <xdr:nvCxnSpPr>
          <xdr:cNvPr id="5" name="Conector de seta reta 4">
            <a:extLst>
              <a:ext uri="{FF2B5EF4-FFF2-40B4-BE49-F238E27FC236}">
                <a16:creationId xmlns:a16="http://schemas.microsoft.com/office/drawing/2014/main" id="{00000000-0008-0000-0100-000005000000}"/>
              </a:ext>
            </a:extLst>
          </xdr:cNvPr>
          <xdr:cNvCxnSpPr/>
        </xdr:nvCxnSpPr>
        <xdr:spPr>
          <a:xfrm>
            <a:off x="963705" y="26266588"/>
            <a:ext cx="0" cy="974912"/>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xnSp macro="">
        <xdr:nvCxnSpPr>
          <xdr:cNvPr id="7" name="Conector de seta reta 6">
            <a:extLst>
              <a:ext uri="{FF2B5EF4-FFF2-40B4-BE49-F238E27FC236}">
                <a16:creationId xmlns:a16="http://schemas.microsoft.com/office/drawing/2014/main" id="{00000000-0008-0000-0100-000007000000}"/>
              </a:ext>
            </a:extLst>
          </xdr:cNvPr>
          <xdr:cNvCxnSpPr/>
        </xdr:nvCxnSpPr>
        <xdr:spPr>
          <a:xfrm flipV="1">
            <a:off x="986117" y="25986441"/>
            <a:ext cx="0" cy="28014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 name="Conector de seta reta 7">
            <a:extLst>
              <a:ext uri="{FF2B5EF4-FFF2-40B4-BE49-F238E27FC236}">
                <a16:creationId xmlns:a16="http://schemas.microsoft.com/office/drawing/2014/main" id="{00000000-0008-0000-0100-000008000000}"/>
              </a:ext>
            </a:extLst>
          </xdr:cNvPr>
          <xdr:cNvCxnSpPr/>
        </xdr:nvCxnSpPr>
        <xdr:spPr>
          <a:xfrm flipV="1">
            <a:off x="1355911" y="25986441"/>
            <a:ext cx="0" cy="28014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Conector de seta reta 8">
            <a:extLst>
              <a:ext uri="{FF2B5EF4-FFF2-40B4-BE49-F238E27FC236}">
                <a16:creationId xmlns:a16="http://schemas.microsoft.com/office/drawing/2014/main" id="{00000000-0008-0000-0100-000009000000}"/>
              </a:ext>
            </a:extLst>
          </xdr:cNvPr>
          <xdr:cNvCxnSpPr/>
        </xdr:nvCxnSpPr>
        <xdr:spPr>
          <a:xfrm flipV="1">
            <a:off x="1669676" y="25986441"/>
            <a:ext cx="0" cy="28014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Conector de seta reta 9">
            <a:extLst>
              <a:ext uri="{FF2B5EF4-FFF2-40B4-BE49-F238E27FC236}">
                <a16:creationId xmlns:a16="http://schemas.microsoft.com/office/drawing/2014/main" id="{00000000-0008-0000-0100-00000A000000}"/>
              </a:ext>
            </a:extLst>
          </xdr:cNvPr>
          <xdr:cNvCxnSpPr/>
        </xdr:nvCxnSpPr>
        <xdr:spPr>
          <a:xfrm flipV="1">
            <a:off x="1972235" y="25986441"/>
            <a:ext cx="0" cy="28014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Conector de seta reta 10">
            <a:extLst>
              <a:ext uri="{FF2B5EF4-FFF2-40B4-BE49-F238E27FC236}">
                <a16:creationId xmlns:a16="http://schemas.microsoft.com/office/drawing/2014/main" id="{00000000-0008-0000-0100-00000B000000}"/>
              </a:ext>
            </a:extLst>
          </xdr:cNvPr>
          <xdr:cNvCxnSpPr/>
        </xdr:nvCxnSpPr>
        <xdr:spPr>
          <a:xfrm flipV="1">
            <a:off x="2297207" y="25986441"/>
            <a:ext cx="0" cy="28014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Conector de seta reta 11">
            <a:extLst>
              <a:ext uri="{FF2B5EF4-FFF2-40B4-BE49-F238E27FC236}">
                <a16:creationId xmlns:a16="http://schemas.microsoft.com/office/drawing/2014/main" id="{00000000-0008-0000-0100-00000C000000}"/>
              </a:ext>
            </a:extLst>
          </xdr:cNvPr>
          <xdr:cNvCxnSpPr/>
        </xdr:nvCxnSpPr>
        <xdr:spPr>
          <a:xfrm flipV="1">
            <a:off x="2577354" y="25986441"/>
            <a:ext cx="0" cy="28014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Conector de seta reta 12">
            <a:extLst>
              <a:ext uri="{FF2B5EF4-FFF2-40B4-BE49-F238E27FC236}">
                <a16:creationId xmlns:a16="http://schemas.microsoft.com/office/drawing/2014/main" id="{00000000-0008-0000-0100-00000D000000}"/>
              </a:ext>
            </a:extLst>
          </xdr:cNvPr>
          <xdr:cNvCxnSpPr/>
        </xdr:nvCxnSpPr>
        <xdr:spPr>
          <a:xfrm flipV="1">
            <a:off x="2823884" y="25986441"/>
            <a:ext cx="0" cy="28014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 name="Conector de seta reta 13">
            <a:extLst>
              <a:ext uri="{FF2B5EF4-FFF2-40B4-BE49-F238E27FC236}">
                <a16:creationId xmlns:a16="http://schemas.microsoft.com/office/drawing/2014/main" id="{00000000-0008-0000-0100-00000E000000}"/>
              </a:ext>
            </a:extLst>
          </xdr:cNvPr>
          <xdr:cNvCxnSpPr/>
        </xdr:nvCxnSpPr>
        <xdr:spPr>
          <a:xfrm flipV="1">
            <a:off x="4426325" y="25986441"/>
            <a:ext cx="0" cy="28014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 name="Conector de seta reta 14">
            <a:extLst>
              <a:ext uri="{FF2B5EF4-FFF2-40B4-BE49-F238E27FC236}">
                <a16:creationId xmlns:a16="http://schemas.microsoft.com/office/drawing/2014/main" id="{00000000-0008-0000-0100-00000F000000}"/>
              </a:ext>
            </a:extLst>
          </xdr:cNvPr>
          <xdr:cNvCxnSpPr/>
        </xdr:nvCxnSpPr>
        <xdr:spPr>
          <a:xfrm flipV="1">
            <a:off x="4717677" y="25986441"/>
            <a:ext cx="0" cy="28014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 name="Conector de seta reta 15">
            <a:extLst>
              <a:ext uri="{FF2B5EF4-FFF2-40B4-BE49-F238E27FC236}">
                <a16:creationId xmlns:a16="http://schemas.microsoft.com/office/drawing/2014/main" id="{00000000-0008-0000-0100-000010000000}"/>
              </a:ext>
            </a:extLst>
          </xdr:cNvPr>
          <xdr:cNvCxnSpPr/>
        </xdr:nvCxnSpPr>
        <xdr:spPr>
          <a:xfrm flipV="1">
            <a:off x="5065060" y="25986441"/>
            <a:ext cx="0" cy="28014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 name="Conector reto 28">
            <a:extLst>
              <a:ext uri="{FF2B5EF4-FFF2-40B4-BE49-F238E27FC236}">
                <a16:creationId xmlns:a16="http://schemas.microsoft.com/office/drawing/2014/main" id="{00000000-0008-0000-0100-00001D000000}"/>
              </a:ext>
            </a:extLst>
          </xdr:cNvPr>
          <xdr:cNvCxnSpPr/>
        </xdr:nvCxnSpPr>
        <xdr:spPr>
          <a:xfrm>
            <a:off x="3249706" y="26109706"/>
            <a:ext cx="918882" cy="0"/>
          </a:xfrm>
          <a:prstGeom prst="line">
            <a:avLst/>
          </a:prstGeom>
          <a:ln>
            <a:prstDash val="sysDot"/>
          </a:ln>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1</xdr:col>
      <xdr:colOff>324970</xdr:colOff>
      <xdr:row>151</xdr:row>
      <xdr:rowOff>190499</xdr:rowOff>
    </xdr:from>
    <xdr:to>
      <xdr:col>6</xdr:col>
      <xdr:colOff>593913</xdr:colOff>
      <xdr:row>158</xdr:row>
      <xdr:rowOff>145676</xdr:rowOff>
    </xdr:to>
    <xdr:grpSp>
      <xdr:nvGrpSpPr>
        <xdr:cNvPr id="31" name="Grupo 30">
          <a:extLst>
            <a:ext uri="{FF2B5EF4-FFF2-40B4-BE49-F238E27FC236}">
              <a16:creationId xmlns:a16="http://schemas.microsoft.com/office/drawing/2014/main" id="{00000000-0008-0000-0100-00001F000000}"/>
            </a:ext>
          </a:extLst>
        </xdr:cNvPr>
        <xdr:cNvGrpSpPr/>
      </xdr:nvGrpSpPr>
      <xdr:grpSpPr>
        <a:xfrm>
          <a:off x="1549613" y="32725178"/>
          <a:ext cx="7507943" cy="1288677"/>
          <a:chOff x="974911" y="25986441"/>
          <a:chExt cx="4112560" cy="1255059"/>
        </a:xfrm>
      </xdr:grpSpPr>
      <xdr:cxnSp macro="">
        <xdr:nvCxnSpPr>
          <xdr:cNvPr id="32" name="Conector reto 31">
            <a:extLst>
              <a:ext uri="{FF2B5EF4-FFF2-40B4-BE49-F238E27FC236}">
                <a16:creationId xmlns:a16="http://schemas.microsoft.com/office/drawing/2014/main" id="{00000000-0008-0000-0100-000020000000}"/>
              </a:ext>
            </a:extLst>
          </xdr:cNvPr>
          <xdr:cNvCxnSpPr/>
        </xdr:nvCxnSpPr>
        <xdr:spPr>
          <a:xfrm flipV="1">
            <a:off x="986117" y="26254975"/>
            <a:ext cx="4101354" cy="4306"/>
          </a:xfrm>
          <a:prstGeom prst="line">
            <a:avLst/>
          </a:prstGeom>
        </xdr:spPr>
        <xdr:style>
          <a:lnRef idx="2">
            <a:schemeClr val="accent1"/>
          </a:lnRef>
          <a:fillRef idx="0">
            <a:schemeClr val="accent1"/>
          </a:fillRef>
          <a:effectRef idx="1">
            <a:schemeClr val="accent1"/>
          </a:effectRef>
          <a:fontRef idx="minor">
            <a:schemeClr val="tx1"/>
          </a:fontRef>
        </xdr:style>
      </xdr:cxnSp>
      <xdr:cxnSp macro="">
        <xdr:nvCxnSpPr>
          <xdr:cNvPr id="33" name="Conector de seta reta 32">
            <a:extLst>
              <a:ext uri="{FF2B5EF4-FFF2-40B4-BE49-F238E27FC236}">
                <a16:creationId xmlns:a16="http://schemas.microsoft.com/office/drawing/2014/main" id="{00000000-0008-0000-0100-000021000000}"/>
              </a:ext>
            </a:extLst>
          </xdr:cNvPr>
          <xdr:cNvCxnSpPr/>
        </xdr:nvCxnSpPr>
        <xdr:spPr>
          <a:xfrm>
            <a:off x="974911" y="26266588"/>
            <a:ext cx="0" cy="974912"/>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xnSp macro="">
        <xdr:nvCxnSpPr>
          <xdr:cNvPr id="34" name="Conector de seta reta 33">
            <a:extLst>
              <a:ext uri="{FF2B5EF4-FFF2-40B4-BE49-F238E27FC236}">
                <a16:creationId xmlns:a16="http://schemas.microsoft.com/office/drawing/2014/main" id="{00000000-0008-0000-0100-000022000000}"/>
              </a:ext>
            </a:extLst>
          </xdr:cNvPr>
          <xdr:cNvCxnSpPr/>
        </xdr:nvCxnSpPr>
        <xdr:spPr>
          <a:xfrm flipV="1">
            <a:off x="986117" y="25986441"/>
            <a:ext cx="0" cy="28014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5" name="Conector de seta reta 34">
            <a:extLst>
              <a:ext uri="{FF2B5EF4-FFF2-40B4-BE49-F238E27FC236}">
                <a16:creationId xmlns:a16="http://schemas.microsoft.com/office/drawing/2014/main" id="{00000000-0008-0000-0100-000023000000}"/>
              </a:ext>
            </a:extLst>
          </xdr:cNvPr>
          <xdr:cNvCxnSpPr/>
        </xdr:nvCxnSpPr>
        <xdr:spPr>
          <a:xfrm flipV="1">
            <a:off x="1355911" y="25986441"/>
            <a:ext cx="0" cy="28014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6" name="Conector de seta reta 35">
            <a:extLst>
              <a:ext uri="{FF2B5EF4-FFF2-40B4-BE49-F238E27FC236}">
                <a16:creationId xmlns:a16="http://schemas.microsoft.com/office/drawing/2014/main" id="{00000000-0008-0000-0100-000024000000}"/>
              </a:ext>
            </a:extLst>
          </xdr:cNvPr>
          <xdr:cNvCxnSpPr/>
        </xdr:nvCxnSpPr>
        <xdr:spPr>
          <a:xfrm flipV="1">
            <a:off x="1669676" y="25986441"/>
            <a:ext cx="0" cy="28014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7" name="Conector de seta reta 36">
            <a:extLst>
              <a:ext uri="{FF2B5EF4-FFF2-40B4-BE49-F238E27FC236}">
                <a16:creationId xmlns:a16="http://schemas.microsoft.com/office/drawing/2014/main" id="{00000000-0008-0000-0100-000025000000}"/>
              </a:ext>
            </a:extLst>
          </xdr:cNvPr>
          <xdr:cNvCxnSpPr/>
        </xdr:nvCxnSpPr>
        <xdr:spPr>
          <a:xfrm flipV="1">
            <a:off x="1972235" y="25986441"/>
            <a:ext cx="0" cy="28014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8" name="Conector de seta reta 37">
            <a:extLst>
              <a:ext uri="{FF2B5EF4-FFF2-40B4-BE49-F238E27FC236}">
                <a16:creationId xmlns:a16="http://schemas.microsoft.com/office/drawing/2014/main" id="{00000000-0008-0000-0100-000026000000}"/>
              </a:ext>
            </a:extLst>
          </xdr:cNvPr>
          <xdr:cNvCxnSpPr/>
        </xdr:nvCxnSpPr>
        <xdr:spPr>
          <a:xfrm flipV="1">
            <a:off x="2297207" y="25986441"/>
            <a:ext cx="0" cy="28014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9" name="Conector de seta reta 38">
            <a:extLst>
              <a:ext uri="{FF2B5EF4-FFF2-40B4-BE49-F238E27FC236}">
                <a16:creationId xmlns:a16="http://schemas.microsoft.com/office/drawing/2014/main" id="{00000000-0008-0000-0100-000027000000}"/>
              </a:ext>
            </a:extLst>
          </xdr:cNvPr>
          <xdr:cNvCxnSpPr/>
        </xdr:nvCxnSpPr>
        <xdr:spPr>
          <a:xfrm flipV="1">
            <a:off x="2577354" y="25986441"/>
            <a:ext cx="0" cy="28014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0" name="Conector de seta reta 39">
            <a:extLst>
              <a:ext uri="{FF2B5EF4-FFF2-40B4-BE49-F238E27FC236}">
                <a16:creationId xmlns:a16="http://schemas.microsoft.com/office/drawing/2014/main" id="{00000000-0008-0000-0100-000028000000}"/>
              </a:ext>
            </a:extLst>
          </xdr:cNvPr>
          <xdr:cNvCxnSpPr/>
        </xdr:nvCxnSpPr>
        <xdr:spPr>
          <a:xfrm flipV="1">
            <a:off x="2823884" y="25986441"/>
            <a:ext cx="0" cy="28014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1" name="Conector de seta reta 40">
            <a:extLst>
              <a:ext uri="{FF2B5EF4-FFF2-40B4-BE49-F238E27FC236}">
                <a16:creationId xmlns:a16="http://schemas.microsoft.com/office/drawing/2014/main" id="{00000000-0008-0000-0100-000029000000}"/>
              </a:ext>
            </a:extLst>
          </xdr:cNvPr>
          <xdr:cNvCxnSpPr/>
        </xdr:nvCxnSpPr>
        <xdr:spPr>
          <a:xfrm flipV="1">
            <a:off x="4426325" y="25986441"/>
            <a:ext cx="0" cy="28014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2" name="Conector de seta reta 41">
            <a:extLst>
              <a:ext uri="{FF2B5EF4-FFF2-40B4-BE49-F238E27FC236}">
                <a16:creationId xmlns:a16="http://schemas.microsoft.com/office/drawing/2014/main" id="{00000000-0008-0000-0100-00002A000000}"/>
              </a:ext>
            </a:extLst>
          </xdr:cNvPr>
          <xdr:cNvCxnSpPr/>
        </xdr:nvCxnSpPr>
        <xdr:spPr>
          <a:xfrm flipV="1">
            <a:off x="4717677" y="25986441"/>
            <a:ext cx="0" cy="28014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3" name="Conector de seta reta 42">
            <a:extLst>
              <a:ext uri="{FF2B5EF4-FFF2-40B4-BE49-F238E27FC236}">
                <a16:creationId xmlns:a16="http://schemas.microsoft.com/office/drawing/2014/main" id="{00000000-0008-0000-0100-00002B000000}"/>
              </a:ext>
            </a:extLst>
          </xdr:cNvPr>
          <xdr:cNvCxnSpPr/>
        </xdr:nvCxnSpPr>
        <xdr:spPr>
          <a:xfrm flipV="1">
            <a:off x="5065060" y="25986441"/>
            <a:ext cx="0" cy="28014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4" name="Conector reto 43">
            <a:extLst>
              <a:ext uri="{FF2B5EF4-FFF2-40B4-BE49-F238E27FC236}">
                <a16:creationId xmlns:a16="http://schemas.microsoft.com/office/drawing/2014/main" id="{00000000-0008-0000-0100-00002C000000}"/>
              </a:ext>
            </a:extLst>
          </xdr:cNvPr>
          <xdr:cNvCxnSpPr/>
        </xdr:nvCxnSpPr>
        <xdr:spPr>
          <a:xfrm>
            <a:off x="3249706" y="26109706"/>
            <a:ext cx="918882" cy="0"/>
          </a:xfrm>
          <a:prstGeom prst="line">
            <a:avLst/>
          </a:prstGeom>
          <a:ln>
            <a:prstDash val="sysDot"/>
          </a:ln>
        </xdr:spPr>
        <xdr:style>
          <a:lnRef idx="2">
            <a:schemeClr val="accent1"/>
          </a:lnRef>
          <a:fillRef idx="0">
            <a:schemeClr val="accent1"/>
          </a:fillRef>
          <a:effectRef idx="1">
            <a:schemeClr val="accent1"/>
          </a:effectRef>
          <a:fontRef idx="minor">
            <a:schemeClr val="tx1"/>
          </a:fontRef>
        </xdr:style>
      </xdr:cxnSp>
    </xdr:grpSp>
    <xdr:clientData/>
  </xdr:twoCellAnchor>
  <xdr:twoCellAnchor>
    <xdr:from>
      <xdr:col>4</xdr:col>
      <xdr:colOff>89647</xdr:colOff>
      <xdr:row>188</xdr:row>
      <xdr:rowOff>0</xdr:rowOff>
    </xdr:from>
    <xdr:to>
      <xdr:col>5</xdr:col>
      <xdr:colOff>224118</xdr:colOff>
      <xdr:row>192</xdr:row>
      <xdr:rowOff>11205</xdr:rowOff>
    </xdr:to>
    <xdr:grpSp>
      <xdr:nvGrpSpPr>
        <xdr:cNvPr id="60" name="Grupo 59">
          <a:extLst>
            <a:ext uri="{FF2B5EF4-FFF2-40B4-BE49-F238E27FC236}">
              <a16:creationId xmlns:a16="http://schemas.microsoft.com/office/drawing/2014/main" id="{00000000-0008-0000-0100-00003C000000}"/>
            </a:ext>
          </a:extLst>
        </xdr:cNvPr>
        <xdr:cNvGrpSpPr/>
      </xdr:nvGrpSpPr>
      <xdr:grpSpPr>
        <a:xfrm>
          <a:off x="6076790" y="39909750"/>
          <a:ext cx="1413542" cy="786812"/>
          <a:chOff x="986118" y="35993295"/>
          <a:chExt cx="1333500" cy="773205"/>
        </a:xfrm>
      </xdr:grpSpPr>
      <xdr:cxnSp macro="">
        <xdr:nvCxnSpPr>
          <xdr:cNvPr id="46" name="Conector reto 45">
            <a:extLst>
              <a:ext uri="{FF2B5EF4-FFF2-40B4-BE49-F238E27FC236}">
                <a16:creationId xmlns:a16="http://schemas.microsoft.com/office/drawing/2014/main" id="{00000000-0008-0000-0100-00002E000000}"/>
              </a:ext>
            </a:extLst>
          </xdr:cNvPr>
          <xdr:cNvCxnSpPr/>
        </xdr:nvCxnSpPr>
        <xdr:spPr>
          <a:xfrm>
            <a:off x="997324" y="36262141"/>
            <a:ext cx="1322294" cy="0"/>
          </a:xfrm>
          <a:prstGeom prst="line">
            <a:avLst/>
          </a:prstGeom>
        </xdr:spPr>
        <xdr:style>
          <a:lnRef idx="2">
            <a:schemeClr val="accent1"/>
          </a:lnRef>
          <a:fillRef idx="0">
            <a:schemeClr val="accent1"/>
          </a:fillRef>
          <a:effectRef idx="1">
            <a:schemeClr val="accent1"/>
          </a:effectRef>
          <a:fontRef idx="minor">
            <a:schemeClr val="tx1"/>
          </a:fontRef>
        </xdr:style>
      </xdr:cxnSp>
      <xdr:cxnSp macro="">
        <xdr:nvCxnSpPr>
          <xdr:cNvPr id="47" name="Conector de seta reta 46">
            <a:extLst>
              <a:ext uri="{FF2B5EF4-FFF2-40B4-BE49-F238E27FC236}">
                <a16:creationId xmlns:a16="http://schemas.microsoft.com/office/drawing/2014/main" id="{00000000-0008-0000-0100-00002F000000}"/>
              </a:ext>
            </a:extLst>
          </xdr:cNvPr>
          <xdr:cNvCxnSpPr/>
        </xdr:nvCxnSpPr>
        <xdr:spPr>
          <a:xfrm>
            <a:off x="986119" y="36280946"/>
            <a:ext cx="0" cy="485554"/>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xnSp macro="">
        <xdr:nvCxnSpPr>
          <xdr:cNvPr id="48" name="Conector de seta reta 47">
            <a:extLst>
              <a:ext uri="{FF2B5EF4-FFF2-40B4-BE49-F238E27FC236}">
                <a16:creationId xmlns:a16="http://schemas.microsoft.com/office/drawing/2014/main" id="{00000000-0008-0000-0100-000030000000}"/>
              </a:ext>
            </a:extLst>
          </xdr:cNvPr>
          <xdr:cNvCxnSpPr/>
        </xdr:nvCxnSpPr>
        <xdr:spPr>
          <a:xfrm flipV="1">
            <a:off x="986118" y="35993295"/>
            <a:ext cx="0" cy="28765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9" name="Conector de seta reta 48">
            <a:extLst>
              <a:ext uri="{FF2B5EF4-FFF2-40B4-BE49-F238E27FC236}">
                <a16:creationId xmlns:a16="http://schemas.microsoft.com/office/drawing/2014/main" id="{00000000-0008-0000-0100-000031000000}"/>
              </a:ext>
            </a:extLst>
          </xdr:cNvPr>
          <xdr:cNvCxnSpPr/>
        </xdr:nvCxnSpPr>
        <xdr:spPr>
          <a:xfrm flipV="1">
            <a:off x="1355912" y="35993295"/>
            <a:ext cx="0" cy="28765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0" name="Conector de seta reta 49">
            <a:extLst>
              <a:ext uri="{FF2B5EF4-FFF2-40B4-BE49-F238E27FC236}">
                <a16:creationId xmlns:a16="http://schemas.microsoft.com/office/drawing/2014/main" id="{00000000-0008-0000-0100-000032000000}"/>
              </a:ext>
            </a:extLst>
          </xdr:cNvPr>
          <xdr:cNvCxnSpPr/>
        </xdr:nvCxnSpPr>
        <xdr:spPr>
          <a:xfrm flipV="1">
            <a:off x="1669677" y="35993295"/>
            <a:ext cx="0" cy="28765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1" name="Conector de seta reta 50">
            <a:extLst>
              <a:ext uri="{FF2B5EF4-FFF2-40B4-BE49-F238E27FC236}">
                <a16:creationId xmlns:a16="http://schemas.microsoft.com/office/drawing/2014/main" id="{00000000-0008-0000-0100-000033000000}"/>
              </a:ext>
            </a:extLst>
          </xdr:cNvPr>
          <xdr:cNvCxnSpPr/>
        </xdr:nvCxnSpPr>
        <xdr:spPr>
          <a:xfrm flipV="1">
            <a:off x="1972236" y="35993295"/>
            <a:ext cx="0" cy="28765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2" name="Conector de seta reta 51">
            <a:extLst>
              <a:ext uri="{FF2B5EF4-FFF2-40B4-BE49-F238E27FC236}">
                <a16:creationId xmlns:a16="http://schemas.microsoft.com/office/drawing/2014/main" id="{00000000-0008-0000-0100-000034000000}"/>
              </a:ext>
            </a:extLst>
          </xdr:cNvPr>
          <xdr:cNvCxnSpPr/>
        </xdr:nvCxnSpPr>
        <xdr:spPr>
          <a:xfrm flipV="1">
            <a:off x="2297208" y="35993295"/>
            <a:ext cx="0" cy="28765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67235</xdr:colOff>
      <xdr:row>202</xdr:row>
      <xdr:rowOff>22412</xdr:rowOff>
    </xdr:from>
    <xdr:to>
      <xdr:col>5</xdr:col>
      <xdr:colOff>201706</xdr:colOff>
      <xdr:row>206</xdr:row>
      <xdr:rowOff>33617</xdr:rowOff>
    </xdr:to>
    <xdr:grpSp>
      <xdr:nvGrpSpPr>
        <xdr:cNvPr id="74" name="Grupo 73">
          <a:extLst>
            <a:ext uri="{FF2B5EF4-FFF2-40B4-BE49-F238E27FC236}">
              <a16:creationId xmlns:a16="http://schemas.microsoft.com/office/drawing/2014/main" id="{00000000-0008-0000-0100-00004A000000}"/>
            </a:ext>
          </a:extLst>
        </xdr:cNvPr>
        <xdr:cNvGrpSpPr/>
      </xdr:nvGrpSpPr>
      <xdr:grpSpPr>
        <a:xfrm>
          <a:off x="6054378" y="42653591"/>
          <a:ext cx="1413542" cy="786812"/>
          <a:chOff x="986118" y="35993295"/>
          <a:chExt cx="1333500" cy="773205"/>
        </a:xfrm>
      </xdr:grpSpPr>
      <xdr:cxnSp macro="">
        <xdr:nvCxnSpPr>
          <xdr:cNvPr id="75" name="Conector reto 74">
            <a:extLst>
              <a:ext uri="{FF2B5EF4-FFF2-40B4-BE49-F238E27FC236}">
                <a16:creationId xmlns:a16="http://schemas.microsoft.com/office/drawing/2014/main" id="{00000000-0008-0000-0100-00004B000000}"/>
              </a:ext>
            </a:extLst>
          </xdr:cNvPr>
          <xdr:cNvCxnSpPr/>
        </xdr:nvCxnSpPr>
        <xdr:spPr>
          <a:xfrm>
            <a:off x="997324" y="36262141"/>
            <a:ext cx="1322294" cy="0"/>
          </a:xfrm>
          <a:prstGeom prst="line">
            <a:avLst/>
          </a:prstGeom>
        </xdr:spPr>
        <xdr:style>
          <a:lnRef idx="2">
            <a:schemeClr val="accent1"/>
          </a:lnRef>
          <a:fillRef idx="0">
            <a:schemeClr val="accent1"/>
          </a:fillRef>
          <a:effectRef idx="1">
            <a:schemeClr val="accent1"/>
          </a:effectRef>
          <a:fontRef idx="minor">
            <a:schemeClr val="tx1"/>
          </a:fontRef>
        </xdr:style>
      </xdr:cxnSp>
      <xdr:cxnSp macro="">
        <xdr:nvCxnSpPr>
          <xdr:cNvPr id="76" name="Conector de seta reta 75">
            <a:extLst>
              <a:ext uri="{FF2B5EF4-FFF2-40B4-BE49-F238E27FC236}">
                <a16:creationId xmlns:a16="http://schemas.microsoft.com/office/drawing/2014/main" id="{00000000-0008-0000-0100-00004C000000}"/>
              </a:ext>
            </a:extLst>
          </xdr:cNvPr>
          <xdr:cNvCxnSpPr/>
        </xdr:nvCxnSpPr>
        <xdr:spPr>
          <a:xfrm>
            <a:off x="986119" y="36280946"/>
            <a:ext cx="0" cy="485554"/>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xnSp macro="">
        <xdr:nvCxnSpPr>
          <xdr:cNvPr id="77" name="Conector de seta reta 76">
            <a:extLst>
              <a:ext uri="{FF2B5EF4-FFF2-40B4-BE49-F238E27FC236}">
                <a16:creationId xmlns:a16="http://schemas.microsoft.com/office/drawing/2014/main" id="{00000000-0008-0000-0100-00004D000000}"/>
              </a:ext>
            </a:extLst>
          </xdr:cNvPr>
          <xdr:cNvCxnSpPr/>
        </xdr:nvCxnSpPr>
        <xdr:spPr>
          <a:xfrm flipV="1">
            <a:off x="986118" y="35993295"/>
            <a:ext cx="0" cy="28765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8" name="Conector de seta reta 77">
            <a:extLst>
              <a:ext uri="{FF2B5EF4-FFF2-40B4-BE49-F238E27FC236}">
                <a16:creationId xmlns:a16="http://schemas.microsoft.com/office/drawing/2014/main" id="{00000000-0008-0000-0100-00004E000000}"/>
              </a:ext>
            </a:extLst>
          </xdr:cNvPr>
          <xdr:cNvCxnSpPr/>
        </xdr:nvCxnSpPr>
        <xdr:spPr>
          <a:xfrm flipV="1">
            <a:off x="1355912" y="35993295"/>
            <a:ext cx="0" cy="28765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9" name="Conector de seta reta 78">
            <a:extLst>
              <a:ext uri="{FF2B5EF4-FFF2-40B4-BE49-F238E27FC236}">
                <a16:creationId xmlns:a16="http://schemas.microsoft.com/office/drawing/2014/main" id="{00000000-0008-0000-0100-00004F000000}"/>
              </a:ext>
            </a:extLst>
          </xdr:cNvPr>
          <xdr:cNvCxnSpPr/>
        </xdr:nvCxnSpPr>
        <xdr:spPr>
          <a:xfrm flipV="1">
            <a:off x="1669677" y="35993295"/>
            <a:ext cx="0" cy="28765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0" name="Conector de seta reta 79">
            <a:extLst>
              <a:ext uri="{FF2B5EF4-FFF2-40B4-BE49-F238E27FC236}">
                <a16:creationId xmlns:a16="http://schemas.microsoft.com/office/drawing/2014/main" id="{00000000-0008-0000-0100-000050000000}"/>
              </a:ext>
            </a:extLst>
          </xdr:cNvPr>
          <xdr:cNvCxnSpPr/>
        </xdr:nvCxnSpPr>
        <xdr:spPr>
          <a:xfrm flipV="1">
            <a:off x="1972236" y="35993295"/>
            <a:ext cx="0" cy="28765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1" name="Conector de seta reta 80">
            <a:extLst>
              <a:ext uri="{FF2B5EF4-FFF2-40B4-BE49-F238E27FC236}">
                <a16:creationId xmlns:a16="http://schemas.microsoft.com/office/drawing/2014/main" id="{00000000-0008-0000-0100-000051000000}"/>
              </a:ext>
            </a:extLst>
          </xdr:cNvPr>
          <xdr:cNvCxnSpPr/>
        </xdr:nvCxnSpPr>
        <xdr:spPr>
          <a:xfrm flipV="1">
            <a:off x="2297208" y="35993295"/>
            <a:ext cx="0" cy="28765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8</xdr:col>
      <xdr:colOff>638736</xdr:colOff>
      <xdr:row>332</xdr:row>
      <xdr:rowOff>17982</xdr:rowOff>
    </xdr:from>
    <xdr:to>
      <xdr:col>15</xdr:col>
      <xdr:colOff>552648</xdr:colOff>
      <xdr:row>345</xdr:row>
      <xdr:rowOff>30682</xdr:rowOff>
    </xdr:to>
    <xdr:pic>
      <xdr:nvPicPr>
        <xdr:cNvPr id="87" name="Imagem 86">
          <a:extLst>
            <a:ext uri="{FF2B5EF4-FFF2-40B4-BE49-F238E27FC236}">
              <a16:creationId xmlns:a16="http://schemas.microsoft.com/office/drawing/2014/main" id="{00000000-0008-0000-01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65915" y="68802089"/>
          <a:ext cx="6472554" cy="2516414"/>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1</xdr:col>
      <xdr:colOff>939800</xdr:colOff>
      <xdr:row>730</xdr:row>
      <xdr:rowOff>139700</xdr:rowOff>
    </xdr:from>
    <xdr:to>
      <xdr:col>1</xdr:col>
      <xdr:colOff>2286000</xdr:colOff>
      <xdr:row>731</xdr:row>
      <xdr:rowOff>203200</xdr:rowOff>
    </xdr:to>
    <xdr:sp macro="" textlink="">
      <xdr:nvSpPr>
        <xdr:cNvPr id="55" name="Line 4">
          <a:extLst>
            <a:ext uri="{FF2B5EF4-FFF2-40B4-BE49-F238E27FC236}">
              <a16:creationId xmlns:a16="http://schemas.microsoft.com/office/drawing/2014/main" id="{00000000-0008-0000-0100-000037000000}"/>
            </a:ext>
          </a:extLst>
        </xdr:cNvPr>
        <xdr:cNvSpPr>
          <a:spLocks noChangeShapeType="1"/>
        </xdr:cNvSpPr>
      </xdr:nvSpPr>
      <xdr:spPr bwMode="auto">
        <a:xfrm flipV="1">
          <a:off x="939800" y="2235200"/>
          <a:ext cx="901700" cy="254000"/>
        </a:xfrm>
        <a:prstGeom prst="line">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txBody>
        <a:bodyPr rtlCol="0"/>
        <a:lstStyle/>
        <a:p>
          <a:pPr algn="ctr"/>
          <a:endParaRPr lang="en-US"/>
        </a:p>
      </xdr:txBody>
    </xdr:sp>
    <xdr:clientData/>
  </xdr:twoCellAnchor>
  <xdr:twoCellAnchor>
    <xdr:from>
      <xdr:col>9</xdr:col>
      <xdr:colOff>1155700</xdr:colOff>
      <xdr:row>730</xdr:row>
      <xdr:rowOff>177800</xdr:rowOff>
    </xdr:from>
    <xdr:to>
      <xdr:col>10</xdr:col>
      <xdr:colOff>965200</xdr:colOff>
      <xdr:row>731</xdr:row>
      <xdr:rowOff>215900</xdr:rowOff>
    </xdr:to>
    <xdr:sp macro="" textlink="">
      <xdr:nvSpPr>
        <xdr:cNvPr id="56" name="Line 10">
          <a:extLst>
            <a:ext uri="{FF2B5EF4-FFF2-40B4-BE49-F238E27FC236}">
              <a16:creationId xmlns:a16="http://schemas.microsoft.com/office/drawing/2014/main" id="{00000000-0008-0000-0100-000038000000}"/>
            </a:ext>
          </a:extLst>
        </xdr:cNvPr>
        <xdr:cNvSpPr>
          <a:spLocks noChangeShapeType="1"/>
        </xdr:cNvSpPr>
      </xdr:nvSpPr>
      <xdr:spPr bwMode="auto">
        <a:xfrm flipH="1" flipV="1">
          <a:off x="9029700" y="2273300"/>
          <a:ext cx="965200" cy="228600"/>
        </a:xfrm>
        <a:prstGeom prst="line">
          <a:avLst/>
        </a:prstGeom>
        <a:noFill/>
        <a:ln w="9525">
          <a:solidFill>
            <a:srgbClr val="000000"/>
          </a:solidFill>
          <a:round/>
          <a:headEnd/>
          <a:tailEnd type="triangle" w="med" len="med"/>
        </a:ln>
        <a:extLst>
          <a:ext uri="{909E8E84-426E-40dd-AFC4-6F175D3DCCD1}">
            <a14:hiddenFill xmlns="" xmlns:a14="http://schemas.microsoft.com/office/drawing/2010/main">
              <a:noFill/>
            </a14:hiddenFill>
          </a:ext>
        </a:extLst>
      </xdr:spPr>
      <xdr:txBody>
        <a:bodyPr rtlCol="0"/>
        <a:lstStyle/>
        <a:p>
          <a:pPr algn="ctr"/>
          <a:endParaRPr lang="en-US"/>
        </a:p>
      </xdr:txBody>
    </xdr:sp>
    <xdr:clientData/>
  </xdr:twoCellAnchor>
  <xdr:twoCellAnchor editAs="oneCell">
    <xdr:from>
      <xdr:col>4</xdr:col>
      <xdr:colOff>596900</xdr:colOff>
      <xdr:row>726</xdr:row>
      <xdr:rowOff>38100</xdr:rowOff>
    </xdr:from>
    <xdr:to>
      <xdr:col>5</xdr:col>
      <xdr:colOff>133305</xdr:colOff>
      <xdr:row>729</xdr:row>
      <xdr:rowOff>101600</xdr:rowOff>
    </xdr:to>
    <xdr:pic>
      <xdr:nvPicPr>
        <xdr:cNvPr id="57" name="Picture 3" descr="Logo EPE">
          <a:extLst>
            <a:ext uri="{FF2B5EF4-FFF2-40B4-BE49-F238E27FC236}">
              <a16:creationId xmlns:a16="http://schemas.microsoft.com/office/drawing/2014/main" id="{00000000-0008-0000-0100-00003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57700" y="118249700"/>
          <a:ext cx="992671" cy="5969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xdr:col>
      <xdr:colOff>76200</xdr:colOff>
      <xdr:row>776</xdr:row>
      <xdr:rowOff>114300</xdr:rowOff>
    </xdr:from>
    <xdr:to>
      <xdr:col>10</xdr:col>
      <xdr:colOff>76200</xdr:colOff>
      <xdr:row>805</xdr:row>
      <xdr:rowOff>12700</xdr:rowOff>
    </xdr:to>
    <xdr:graphicFrame macro="">
      <xdr:nvGraphicFramePr>
        <xdr:cNvPr id="6" name="Chart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647700</xdr:colOff>
      <xdr:row>637</xdr:row>
      <xdr:rowOff>76200</xdr:rowOff>
    </xdr:from>
    <xdr:to>
      <xdr:col>15</xdr:col>
      <xdr:colOff>127000</xdr:colOff>
      <xdr:row>665</xdr:row>
      <xdr:rowOff>0</xdr:rowOff>
    </xdr:to>
    <xdr:graphicFrame macro="">
      <xdr:nvGraphicFramePr>
        <xdr:cNvPr id="18" name="Chart 17">
          <a:extLst>
            <a:ext uri="{FF2B5EF4-FFF2-40B4-BE49-F238E27FC236}">
              <a16:creationId xmlns:a16="http://schemas.microsoft.com/office/drawing/2014/main" id="{00000000-0008-0000-01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389467</xdr:colOff>
      <xdr:row>812</xdr:row>
      <xdr:rowOff>179916</xdr:rowOff>
    </xdr:from>
    <xdr:to>
      <xdr:col>14</xdr:col>
      <xdr:colOff>573617</xdr:colOff>
      <xdr:row>844</xdr:row>
      <xdr:rowOff>52916</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76200</xdr:colOff>
      <xdr:row>905</xdr:row>
      <xdr:rowOff>114300</xdr:rowOff>
    </xdr:from>
    <xdr:to>
      <xdr:col>10</xdr:col>
      <xdr:colOff>76200</xdr:colOff>
      <xdr:row>934</xdr:row>
      <xdr:rowOff>12700</xdr:rowOff>
    </xdr:to>
    <xdr:graphicFrame macro="">
      <xdr:nvGraphicFramePr>
        <xdr:cNvPr id="54" name="Chart 53">
          <a:extLst>
            <a:ext uri="{FF2B5EF4-FFF2-40B4-BE49-F238E27FC236}">
              <a16:creationId xmlns:a16="http://schemas.microsoft.com/office/drawing/2014/main" id="{00000000-0008-0000-0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14</xdr:col>
      <xdr:colOff>246062</xdr:colOff>
      <xdr:row>257</xdr:row>
      <xdr:rowOff>150813</xdr:rowOff>
    </xdr:from>
    <xdr:to>
      <xdr:col>23</xdr:col>
      <xdr:colOff>278586</xdr:colOff>
      <xdr:row>273</xdr:row>
      <xdr:rowOff>23471</xdr:rowOff>
    </xdr:to>
    <xdr:pic>
      <xdr:nvPicPr>
        <xdr:cNvPr id="58" name="Imagem 57">
          <a:extLst>
            <a:ext uri="{FF2B5EF4-FFF2-40B4-BE49-F238E27FC236}">
              <a16:creationId xmlns:a16="http://schemas.microsoft.com/office/drawing/2014/main" id="{00000000-0008-0000-0100-00003A000000}"/>
            </a:ext>
          </a:extLst>
        </xdr:cNvPr>
        <xdr:cNvPicPr>
          <a:picLocks noChangeAspect="1"/>
        </xdr:cNvPicPr>
      </xdr:nvPicPr>
      <xdr:blipFill>
        <a:blip xmlns:r="http://schemas.openxmlformats.org/officeDocument/2006/relationships" r:embed="rId7"/>
        <a:stretch>
          <a:fillRect/>
        </a:stretch>
      </xdr:blipFill>
      <xdr:spPr>
        <a:xfrm>
          <a:off x="13223875" y="54157563"/>
          <a:ext cx="6438087" cy="29206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85725</xdr:colOff>
          <xdr:row>141</xdr:row>
          <xdr:rowOff>0</xdr:rowOff>
        </xdr:from>
        <xdr:to>
          <xdr:col>8</xdr:col>
          <xdr:colOff>447675</xdr:colOff>
          <xdr:row>142</xdr:row>
          <xdr:rowOff>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145</xdr:row>
          <xdr:rowOff>0</xdr:rowOff>
        </xdr:from>
        <xdr:to>
          <xdr:col>4</xdr:col>
          <xdr:colOff>114300</xdr:colOff>
          <xdr:row>146</xdr:row>
          <xdr:rowOff>9525</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57149</xdr:colOff>
      <xdr:row>158</xdr:row>
      <xdr:rowOff>152400</xdr:rowOff>
    </xdr:from>
    <xdr:to>
      <xdr:col>3</xdr:col>
      <xdr:colOff>708318</xdr:colOff>
      <xdr:row>160</xdr:row>
      <xdr:rowOff>38100</xdr:rowOff>
    </xdr:to>
    <xdr:pic>
      <xdr:nvPicPr>
        <xdr:cNvPr id="4" name="Imagem 3">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1"/>
        <a:srcRect r="52490"/>
        <a:stretch/>
      </xdr:blipFill>
      <xdr:spPr>
        <a:xfrm>
          <a:off x="781049" y="30480000"/>
          <a:ext cx="2586809" cy="266700"/>
        </a:xfrm>
        <a:prstGeom prst="rect">
          <a:avLst/>
        </a:prstGeom>
      </xdr:spPr>
    </xdr:pic>
    <xdr:clientData/>
  </xdr:twoCellAnchor>
  <xdr:twoCellAnchor editAs="oneCell">
    <xdr:from>
      <xdr:col>1</xdr:col>
      <xdr:colOff>66676</xdr:colOff>
      <xdr:row>163</xdr:row>
      <xdr:rowOff>142875</xdr:rowOff>
    </xdr:from>
    <xdr:to>
      <xdr:col>3</xdr:col>
      <xdr:colOff>750411</xdr:colOff>
      <xdr:row>165</xdr:row>
      <xdr:rowOff>20153</xdr:rowOff>
    </xdr:to>
    <xdr:pic>
      <xdr:nvPicPr>
        <xdr:cNvPr id="8" name="Imagem 7">
          <a:extLst>
            <a:ext uri="{FF2B5EF4-FFF2-40B4-BE49-F238E27FC236}">
              <a16:creationId xmlns:a16="http://schemas.microsoft.com/office/drawing/2014/main" id="{00000000-0008-0000-0200-000008000000}"/>
            </a:ext>
          </a:extLst>
        </xdr:cNvPr>
        <xdr:cNvPicPr>
          <a:picLocks noChangeAspect="1"/>
        </xdr:cNvPicPr>
      </xdr:nvPicPr>
      <xdr:blipFill rotWithShape="1">
        <a:blip xmlns:r="http://schemas.openxmlformats.org/officeDocument/2006/relationships" r:embed="rId2"/>
        <a:srcRect t="-1" r="46118" b="6655"/>
        <a:stretch/>
      </xdr:blipFill>
      <xdr:spPr>
        <a:xfrm>
          <a:off x="790576" y="31461075"/>
          <a:ext cx="2628900" cy="258278"/>
        </a:xfrm>
        <a:prstGeom prst="rect">
          <a:avLst/>
        </a:prstGeom>
      </xdr:spPr>
    </xdr:pic>
    <xdr:clientData/>
  </xdr:twoCellAnchor>
  <xdr:twoCellAnchor>
    <xdr:from>
      <xdr:col>0</xdr:col>
      <xdr:colOff>155863</xdr:colOff>
      <xdr:row>343</xdr:row>
      <xdr:rowOff>126423</xdr:rowOff>
    </xdr:from>
    <xdr:to>
      <xdr:col>9</xdr:col>
      <xdr:colOff>432954</xdr:colOff>
      <xdr:row>366</xdr:row>
      <xdr:rowOff>17318</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81280</xdr:colOff>
      <xdr:row>228</xdr:row>
      <xdr:rowOff>0</xdr:rowOff>
    </xdr:from>
    <xdr:to>
      <xdr:col>23</xdr:col>
      <xdr:colOff>10160</xdr:colOff>
      <xdr:row>244</xdr:row>
      <xdr:rowOff>162560</xdr:rowOff>
    </xdr:to>
    <xdr:graphicFrame macro="">
      <xdr:nvGraphicFramePr>
        <xdr:cNvPr id="5" name="Chart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213360</xdr:colOff>
      <xdr:row>253</xdr:row>
      <xdr:rowOff>60960</xdr:rowOff>
    </xdr:from>
    <xdr:to>
      <xdr:col>14</xdr:col>
      <xdr:colOff>619760</xdr:colOff>
      <xdr:row>278</xdr:row>
      <xdr:rowOff>20320</xdr:rowOff>
    </xdr:to>
    <xdr:graphicFrame macro="">
      <xdr:nvGraphicFramePr>
        <xdr:cNvPr id="9" name="Chart 8">
          <a:extLst>
            <a:ext uri="{FF2B5EF4-FFF2-40B4-BE49-F238E27FC236}">
              <a16:creationId xmlns:a16="http://schemas.microsoft.com/office/drawing/2014/main" id="{00000000-0008-0000-02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264160</xdr:colOff>
      <xdr:row>463</xdr:row>
      <xdr:rowOff>121920</xdr:rowOff>
    </xdr:from>
    <xdr:to>
      <xdr:col>8</xdr:col>
      <xdr:colOff>111760</xdr:colOff>
      <xdr:row>486</xdr:row>
      <xdr:rowOff>91440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0.69122</cdr:x>
      <cdr:y>0.17057</cdr:y>
    </cdr:from>
    <cdr:to>
      <cdr:x>0.69191</cdr:x>
      <cdr:y>0.81111</cdr:y>
    </cdr:to>
    <cdr:sp macro="" textlink="">
      <cdr:nvSpPr>
        <cdr:cNvPr id="2" name="Line 10"/>
        <cdr:cNvSpPr>
          <a:spLocks xmlns:a="http://schemas.openxmlformats.org/drawingml/2006/main" noChangeShapeType="1"/>
        </cdr:cNvSpPr>
      </cdr:nvSpPr>
      <cdr:spPr bwMode="auto">
        <a:xfrm xmlns:a="http://schemas.openxmlformats.org/drawingml/2006/main" flipV="1">
          <a:off x="4958080" y="779827"/>
          <a:ext cx="4970" cy="2928572"/>
        </a:xfrm>
        <a:prstGeom xmlns:a="http://schemas.openxmlformats.org/drawingml/2006/main" prst="line">
          <a:avLst/>
        </a:prstGeom>
        <a:noFill xmlns:a="http://schemas.openxmlformats.org/drawingml/2006/main"/>
        <a:ln xmlns:a="http://schemas.openxmlformats.org/drawingml/2006/main" w="22225">
          <a:solidFill>
            <a:srgbClr xmlns:mc="http://schemas.openxmlformats.org/markup-compatibility/2006" xmlns:a14="http://schemas.microsoft.com/office/drawing/2010/main" val="000000" mc:Ignorable="a14" a14:legacySpreadsheetColorIndex="64"/>
          </a:solidFill>
          <a:prstDash val="sysDot"/>
          <a:round/>
          <a:headEnd/>
          <a:tailEnd/>
        </a:ln>
        <a:extLst xmlns:a="http://schemas.openxmlformats.org/drawingml/2006/main">
          <a:ext uri="{909E8E84-426E-40dd-AFC4-6F175D3DCCD1}">
            <a14:hiddenFill xmlns=""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0.40368</cdr:x>
      <cdr:y>0.53778</cdr:y>
    </cdr:from>
    <cdr:to>
      <cdr:x>0.64731</cdr:x>
      <cdr:y>0.64839</cdr:y>
    </cdr:to>
    <cdr:sp macro="" textlink="">
      <cdr:nvSpPr>
        <cdr:cNvPr id="3" name="Text Box 19"/>
        <cdr:cNvSpPr txBox="1">
          <a:spLocks xmlns:a="http://schemas.openxmlformats.org/drawingml/2006/main" noChangeArrowheads="1"/>
        </cdr:cNvSpPr>
      </cdr:nvSpPr>
      <cdr:spPr bwMode="auto">
        <a:xfrm xmlns:a="http://schemas.openxmlformats.org/drawingml/2006/main">
          <a:off x="2895600" y="2458720"/>
          <a:ext cx="1747520" cy="5057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US" sz="1125" b="1" i="0" u="none" strike="noStrike" baseline="0">
              <a:solidFill>
                <a:srgbClr val="000000"/>
              </a:solidFill>
              <a:latin typeface="Arial"/>
              <a:ea typeface="Arial"/>
              <a:cs typeface="Arial"/>
            </a:rPr>
            <a:t>Aceitar</a:t>
          </a:r>
        </a:p>
        <a:p xmlns:a="http://schemas.openxmlformats.org/drawingml/2006/main">
          <a:pPr algn="ctr" rtl="0">
            <a:defRPr sz="1000"/>
          </a:pPr>
          <a:r>
            <a:rPr lang="en-US" sz="1125" b="1" i="0" u="none" strike="noStrike" baseline="0">
              <a:solidFill>
                <a:srgbClr val="DD0806"/>
              </a:solidFill>
              <a:latin typeface="Arial"/>
              <a:ea typeface="Arial"/>
              <a:cs typeface="Arial"/>
            </a:rPr>
            <a:t> </a:t>
          </a:r>
          <a:r>
            <a:rPr lang="en-US" sz="1125" b="1" i="0" u="none" strike="noStrike" baseline="0">
              <a:solidFill>
                <a:srgbClr val="FF0000"/>
              </a:solidFill>
              <a:latin typeface="Arial"/>
              <a:ea typeface="Arial"/>
              <a:cs typeface="Arial"/>
            </a:rPr>
            <a:t>Pré-aquecedor Solar</a:t>
          </a:r>
        </a:p>
      </cdr:txBody>
    </cdr:sp>
  </cdr:relSizeAnchor>
  <cdr:relSizeAnchor xmlns:cdr="http://schemas.openxmlformats.org/drawingml/2006/chartDrawing">
    <cdr:from>
      <cdr:x>0.71813</cdr:x>
      <cdr:y>0.52889</cdr:y>
    </cdr:from>
    <cdr:to>
      <cdr:x>0.96176</cdr:x>
      <cdr:y>0.6395</cdr:y>
    </cdr:to>
    <cdr:sp macro="" textlink="">
      <cdr:nvSpPr>
        <cdr:cNvPr id="4" name="Text Box 19"/>
        <cdr:cNvSpPr txBox="1">
          <a:spLocks xmlns:a="http://schemas.openxmlformats.org/drawingml/2006/main" noChangeArrowheads="1"/>
        </cdr:cNvSpPr>
      </cdr:nvSpPr>
      <cdr:spPr bwMode="auto">
        <a:xfrm xmlns:a="http://schemas.openxmlformats.org/drawingml/2006/main">
          <a:off x="5151120" y="2418080"/>
          <a:ext cx="1747520" cy="5057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US" sz="1125" b="1" i="0" u="none" strike="noStrike" baseline="0">
              <a:solidFill>
                <a:srgbClr val="000000"/>
              </a:solidFill>
              <a:latin typeface="Arial"/>
              <a:ea typeface="Arial"/>
              <a:cs typeface="Arial"/>
            </a:rPr>
            <a:t>Aceitar</a:t>
          </a:r>
        </a:p>
        <a:p xmlns:a="http://schemas.openxmlformats.org/drawingml/2006/main">
          <a:pPr algn="ctr" rtl="0">
            <a:defRPr sz="1000"/>
          </a:pPr>
          <a:r>
            <a:rPr lang="en-US" sz="1125" b="1" i="0" u="none" strike="noStrike" baseline="0">
              <a:solidFill>
                <a:srgbClr val="DD0806"/>
              </a:solidFill>
              <a:latin typeface="Arial"/>
              <a:ea typeface="Arial"/>
              <a:cs typeface="Arial"/>
            </a:rPr>
            <a:t> </a:t>
          </a:r>
          <a:r>
            <a:rPr lang="en-US" sz="1125" b="1" i="0" u="none" strike="noStrike" baseline="0">
              <a:solidFill>
                <a:srgbClr val="3366FF"/>
              </a:solidFill>
              <a:latin typeface="Arial"/>
              <a:ea typeface="Arial"/>
              <a:cs typeface="Arial"/>
            </a:rPr>
            <a:t>Chuveiro Elétrico</a:t>
          </a:r>
        </a:p>
      </cdr:txBody>
    </cdr:sp>
  </cdr:relSizeAnchor>
  <cdr:relSizeAnchor xmlns:cdr="http://schemas.openxmlformats.org/drawingml/2006/chartDrawing">
    <cdr:from>
      <cdr:x>0.69122</cdr:x>
      <cdr:y>0.30243</cdr:y>
    </cdr:from>
    <cdr:to>
      <cdr:x>0.76487</cdr:x>
      <cdr:y>0.40667</cdr:y>
    </cdr:to>
    <cdr:sp macro="" textlink="">
      <cdr:nvSpPr>
        <cdr:cNvPr id="5" name="Line 7"/>
        <cdr:cNvSpPr>
          <a:spLocks xmlns:a="http://schemas.openxmlformats.org/drawingml/2006/main" noChangeShapeType="1"/>
        </cdr:cNvSpPr>
      </cdr:nvSpPr>
      <cdr:spPr bwMode="auto">
        <a:xfrm xmlns:a="http://schemas.openxmlformats.org/drawingml/2006/main" flipH="1" flipV="1">
          <a:off x="4958080" y="1382722"/>
          <a:ext cx="528320" cy="476557"/>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sm" len="lg"/>
        </a:ln>
        <a:extLst xmlns:a="http://schemas.openxmlformats.org/drawingml/2006/main">
          <a:ext uri="{909E8E84-426E-40dd-AFC4-6F175D3DCCD1}">
            <a14:hiddenFill xmlns=""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0.76346</cdr:x>
      <cdr:y>0.35556</cdr:y>
    </cdr:from>
    <cdr:to>
      <cdr:x>0.94018</cdr:x>
      <cdr:y>0.41776</cdr:y>
    </cdr:to>
    <cdr:sp macro="" textlink="">
      <cdr:nvSpPr>
        <cdr:cNvPr id="6" name="Text Box 17"/>
        <cdr:cNvSpPr txBox="1">
          <a:spLocks xmlns:a="http://schemas.openxmlformats.org/drawingml/2006/main" noChangeArrowheads="1"/>
        </cdr:cNvSpPr>
      </cdr:nvSpPr>
      <cdr:spPr bwMode="auto">
        <a:xfrm xmlns:a="http://schemas.openxmlformats.org/drawingml/2006/main">
          <a:off x="5476240" y="1625600"/>
          <a:ext cx="1267612" cy="28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mr-IN" sz="1100" b="1" i="0" u="none" strike="noStrike" baseline="0">
              <a:solidFill>
                <a:srgbClr val="000000"/>
              </a:solidFill>
              <a:latin typeface="Arial"/>
              <a:ea typeface="Arial"/>
              <a:cs typeface="Arial"/>
            </a:rPr>
            <a:t>Taxa = 37 %</a:t>
          </a:r>
        </a:p>
      </cdr:txBody>
    </cdr:sp>
  </cdr:relSizeAnchor>
  <cdr:relSizeAnchor xmlns:cdr="http://schemas.openxmlformats.org/drawingml/2006/chartDrawing">
    <cdr:from>
      <cdr:x>0.76304</cdr:x>
      <cdr:y>0.40758</cdr:y>
    </cdr:from>
    <cdr:to>
      <cdr:x>0.86675</cdr:x>
      <cdr:y>0.40758</cdr:y>
    </cdr:to>
    <cdr:sp macro="" textlink="">
      <cdr:nvSpPr>
        <cdr:cNvPr id="7" name="Line 8"/>
        <cdr:cNvSpPr>
          <a:spLocks xmlns:a="http://schemas.openxmlformats.org/drawingml/2006/main" noChangeShapeType="1"/>
        </cdr:cNvSpPr>
      </cdr:nvSpPr>
      <cdr:spPr bwMode="auto">
        <a:xfrm xmlns:a="http://schemas.openxmlformats.org/drawingml/2006/main">
          <a:off x="5473231" y="1863454"/>
          <a:ext cx="743959"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4.xml><?xml version="1.0" encoding="utf-8"?>
<c:userShapes xmlns:c="http://schemas.openxmlformats.org/drawingml/2006/chart">
  <cdr:relSizeAnchor xmlns:cdr="http://schemas.openxmlformats.org/drawingml/2006/chartDrawing">
    <cdr:from>
      <cdr:x>0.69122</cdr:x>
      <cdr:y>0.17057</cdr:y>
    </cdr:from>
    <cdr:to>
      <cdr:x>0.69191</cdr:x>
      <cdr:y>0.81111</cdr:y>
    </cdr:to>
    <cdr:sp macro="" textlink="">
      <cdr:nvSpPr>
        <cdr:cNvPr id="2" name="Line 10"/>
        <cdr:cNvSpPr>
          <a:spLocks xmlns:a="http://schemas.openxmlformats.org/drawingml/2006/main" noChangeShapeType="1"/>
        </cdr:cNvSpPr>
      </cdr:nvSpPr>
      <cdr:spPr bwMode="auto">
        <a:xfrm xmlns:a="http://schemas.openxmlformats.org/drawingml/2006/main" flipV="1">
          <a:off x="4958080" y="779827"/>
          <a:ext cx="4970" cy="2928572"/>
        </a:xfrm>
        <a:prstGeom xmlns:a="http://schemas.openxmlformats.org/drawingml/2006/main" prst="line">
          <a:avLst/>
        </a:prstGeom>
        <a:noFill xmlns:a="http://schemas.openxmlformats.org/drawingml/2006/main"/>
        <a:ln xmlns:a="http://schemas.openxmlformats.org/drawingml/2006/main" w="22225">
          <a:solidFill>
            <a:srgbClr xmlns:mc="http://schemas.openxmlformats.org/markup-compatibility/2006" xmlns:a14="http://schemas.microsoft.com/office/drawing/2010/main" val="000000" mc:Ignorable="a14" a14:legacySpreadsheetColorIndex="64"/>
          </a:solidFill>
          <a:prstDash val="sysDot"/>
          <a:round/>
          <a:headEnd/>
          <a:tailEnd/>
        </a:ln>
        <a:extLst xmlns:a="http://schemas.openxmlformats.org/drawingml/2006/main">
          <a:ext uri="{909E8E84-426E-40dd-AFC4-6F175D3DCCD1}">
            <a14:hiddenFill xmlns=""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0.40368</cdr:x>
      <cdr:y>0.53778</cdr:y>
    </cdr:from>
    <cdr:to>
      <cdr:x>0.64731</cdr:x>
      <cdr:y>0.64839</cdr:y>
    </cdr:to>
    <cdr:sp macro="" textlink="">
      <cdr:nvSpPr>
        <cdr:cNvPr id="3" name="Text Box 19"/>
        <cdr:cNvSpPr txBox="1">
          <a:spLocks xmlns:a="http://schemas.openxmlformats.org/drawingml/2006/main" noChangeArrowheads="1"/>
        </cdr:cNvSpPr>
      </cdr:nvSpPr>
      <cdr:spPr bwMode="auto">
        <a:xfrm xmlns:a="http://schemas.openxmlformats.org/drawingml/2006/main">
          <a:off x="2895600" y="2458720"/>
          <a:ext cx="1747520" cy="5057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US" sz="1125" b="1" i="0" u="none" strike="noStrike" baseline="0">
              <a:solidFill>
                <a:srgbClr val="000000"/>
              </a:solidFill>
              <a:latin typeface="Arial"/>
              <a:ea typeface="Arial"/>
              <a:cs typeface="Arial"/>
            </a:rPr>
            <a:t>Aceitar</a:t>
          </a:r>
        </a:p>
        <a:p xmlns:a="http://schemas.openxmlformats.org/drawingml/2006/main">
          <a:pPr algn="ctr" rtl="0">
            <a:defRPr sz="1000"/>
          </a:pPr>
          <a:r>
            <a:rPr lang="en-US" sz="1125" b="1" i="0" u="none" strike="noStrike" baseline="0">
              <a:solidFill>
                <a:srgbClr val="DD0806"/>
              </a:solidFill>
              <a:latin typeface="Arial"/>
              <a:ea typeface="Arial"/>
              <a:cs typeface="Arial"/>
            </a:rPr>
            <a:t> </a:t>
          </a:r>
          <a:r>
            <a:rPr lang="en-US" sz="1125" b="1" i="0" u="none" strike="noStrike" baseline="0">
              <a:solidFill>
                <a:srgbClr val="FF0000"/>
              </a:solidFill>
              <a:latin typeface="Arial"/>
              <a:ea typeface="Arial"/>
              <a:cs typeface="Arial"/>
            </a:rPr>
            <a:t>Pré-aquecedor Solar</a:t>
          </a:r>
        </a:p>
      </cdr:txBody>
    </cdr:sp>
  </cdr:relSizeAnchor>
  <cdr:relSizeAnchor xmlns:cdr="http://schemas.openxmlformats.org/drawingml/2006/chartDrawing">
    <cdr:from>
      <cdr:x>0.71813</cdr:x>
      <cdr:y>0.52889</cdr:y>
    </cdr:from>
    <cdr:to>
      <cdr:x>0.96176</cdr:x>
      <cdr:y>0.6395</cdr:y>
    </cdr:to>
    <cdr:sp macro="" textlink="">
      <cdr:nvSpPr>
        <cdr:cNvPr id="4" name="Text Box 19"/>
        <cdr:cNvSpPr txBox="1">
          <a:spLocks xmlns:a="http://schemas.openxmlformats.org/drawingml/2006/main" noChangeArrowheads="1"/>
        </cdr:cNvSpPr>
      </cdr:nvSpPr>
      <cdr:spPr bwMode="auto">
        <a:xfrm xmlns:a="http://schemas.openxmlformats.org/drawingml/2006/main">
          <a:off x="5151120" y="2418080"/>
          <a:ext cx="1747520" cy="5057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US" sz="1125" b="1" i="0" u="none" strike="noStrike" baseline="0">
              <a:solidFill>
                <a:srgbClr val="000000"/>
              </a:solidFill>
              <a:latin typeface="Arial"/>
              <a:ea typeface="Arial"/>
              <a:cs typeface="Arial"/>
            </a:rPr>
            <a:t>Aceitar</a:t>
          </a:r>
        </a:p>
        <a:p xmlns:a="http://schemas.openxmlformats.org/drawingml/2006/main">
          <a:pPr algn="ctr" rtl="0">
            <a:defRPr sz="1000"/>
          </a:pPr>
          <a:r>
            <a:rPr lang="en-US" sz="1125" b="1" i="0" u="none" strike="noStrike" baseline="0">
              <a:solidFill>
                <a:srgbClr val="DD0806"/>
              </a:solidFill>
              <a:latin typeface="Arial"/>
              <a:ea typeface="Arial"/>
              <a:cs typeface="Arial"/>
            </a:rPr>
            <a:t> </a:t>
          </a:r>
          <a:r>
            <a:rPr lang="en-US" sz="1125" b="1" i="0" u="none" strike="noStrike" baseline="0">
              <a:solidFill>
                <a:srgbClr val="3366FF"/>
              </a:solidFill>
              <a:latin typeface="Arial"/>
              <a:ea typeface="Arial"/>
              <a:cs typeface="Arial"/>
            </a:rPr>
            <a:t>Chuveiro Elétrico</a:t>
          </a:r>
        </a:p>
      </cdr:txBody>
    </cdr:sp>
  </cdr:relSizeAnchor>
  <cdr:relSizeAnchor xmlns:cdr="http://schemas.openxmlformats.org/drawingml/2006/chartDrawing">
    <cdr:from>
      <cdr:x>0.69122</cdr:x>
      <cdr:y>0.30243</cdr:y>
    </cdr:from>
    <cdr:to>
      <cdr:x>0.76487</cdr:x>
      <cdr:y>0.40667</cdr:y>
    </cdr:to>
    <cdr:sp macro="" textlink="">
      <cdr:nvSpPr>
        <cdr:cNvPr id="5" name="Line 7"/>
        <cdr:cNvSpPr>
          <a:spLocks xmlns:a="http://schemas.openxmlformats.org/drawingml/2006/main" noChangeShapeType="1"/>
        </cdr:cNvSpPr>
      </cdr:nvSpPr>
      <cdr:spPr bwMode="auto">
        <a:xfrm xmlns:a="http://schemas.openxmlformats.org/drawingml/2006/main" flipH="1" flipV="1">
          <a:off x="4958080" y="1382722"/>
          <a:ext cx="528320" cy="476557"/>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sm" len="lg"/>
        </a:ln>
        <a:extLst xmlns:a="http://schemas.openxmlformats.org/drawingml/2006/main">
          <a:ext uri="{909E8E84-426E-40dd-AFC4-6F175D3DCCD1}">
            <a14:hiddenFill xmlns=""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0.76346</cdr:x>
      <cdr:y>0.35556</cdr:y>
    </cdr:from>
    <cdr:to>
      <cdr:x>0.94018</cdr:x>
      <cdr:y>0.41776</cdr:y>
    </cdr:to>
    <cdr:sp macro="" textlink="">
      <cdr:nvSpPr>
        <cdr:cNvPr id="6" name="Text Box 17"/>
        <cdr:cNvSpPr txBox="1">
          <a:spLocks xmlns:a="http://schemas.openxmlformats.org/drawingml/2006/main" noChangeArrowheads="1"/>
        </cdr:cNvSpPr>
      </cdr:nvSpPr>
      <cdr:spPr bwMode="auto">
        <a:xfrm xmlns:a="http://schemas.openxmlformats.org/drawingml/2006/main">
          <a:off x="5476240" y="1625600"/>
          <a:ext cx="1267612" cy="28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mr-IN" sz="1100" b="1" i="0" u="none" strike="noStrike" baseline="0">
              <a:solidFill>
                <a:srgbClr val="000000"/>
              </a:solidFill>
              <a:latin typeface="Arial"/>
              <a:ea typeface="Arial"/>
              <a:cs typeface="Arial"/>
            </a:rPr>
            <a:t>Taxa = 37 %</a:t>
          </a:r>
        </a:p>
      </cdr:txBody>
    </cdr:sp>
  </cdr:relSizeAnchor>
  <cdr:relSizeAnchor xmlns:cdr="http://schemas.openxmlformats.org/drawingml/2006/chartDrawing">
    <cdr:from>
      <cdr:x>0.76304</cdr:x>
      <cdr:y>0.40758</cdr:y>
    </cdr:from>
    <cdr:to>
      <cdr:x>0.86675</cdr:x>
      <cdr:y>0.40758</cdr:y>
    </cdr:to>
    <cdr:sp macro="" textlink="">
      <cdr:nvSpPr>
        <cdr:cNvPr id="7" name="Line 8"/>
        <cdr:cNvSpPr>
          <a:spLocks xmlns:a="http://schemas.openxmlformats.org/drawingml/2006/main" noChangeShapeType="1"/>
        </cdr:cNvSpPr>
      </cdr:nvSpPr>
      <cdr:spPr bwMode="auto">
        <a:xfrm xmlns:a="http://schemas.openxmlformats.org/drawingml/2006/main">
          <a:off x="5473231" y="1863454"/>
          <a:ext cx="743959"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5.xml><?xml version="1.0" encoding="utf-8"?>
<c:userShapes xmlns:c="http://schemas.openxmlformats.org/drawingml/2006/chart">
  <cdr:relSizeAnchor xmlns:cdr="http://schemas.openxmlformats.org/drawingml/2006/chartDrawing">
    <cdr:from>
      <cdr:x>0.83061</cdr:x>
      <cdr:y>0.8557</cdr:y>
    </cdr:from>
    <cdr:to>
      <cdr:x>0.83191</cdr:x>
      <cdr:y>0.92405</cdr:y>
    </cdr:to>
    <cdr:sp macro="" textlink="">
      <cdr:nvSpPr>
        <cdr:cNvPr id="2" name="Line 10"/>
        <cdr:cNvSpPr>
          <a:spLocks xmlns:a="http://schemas.openxmlformats.org/drawingml/2006/main" noChangeShapeType="1"/>
        </cdr:cNvSpPr>
      </cdr:nvSpPr>
      <cdr:spPr bwMode="auto">
        <a:xfrm xmlns:a="http://schemas.openxmlformats.org/drawingml/2006/main" flipH="1" flipV="1">
          <a:off x="6860874" y="3434080"/>
          <a:ext cx="10770" cy="274320"/>
        </a:xfrm>
        <a:prstGeom xmlns:a="http://schemas.openxmlformats.org/drawingml/2006/main" prst="line">
          <a:avLst/>
        </a:prstGeom>
        <a:noFill xmlns:a="http://schemas.openxmlformats.org/drawingml/2006/main"/>
        <a:ln xmlns:a="http://schemas.openxmlformats.org/drawingml/2006/main" w="22225">
          <a:solidFill>
            <a:srgbClr xmlns:mc="http://schemas.openxmlformats.org/markup-compatibility/2006" xmlns:a14="http://schemas.microsoft.com/office/drawing/2010/main" val="000000" mc:Ignorable="a14" a14:legacySpreadsheetColorIndex="64"/>
          </a:solidFill>
          <a:prstDash val="sysDot"/>
          <a:round/>
          <a:headEnd/>
          <a:tailEnd/>
        </a:ln>
        <a:extLst xmlns:a="http://schemas.openxmlformats.org/drawingml/2006/main">
          <a:ext uri="{909E8E84-426E-40dd-AFC4-6F175D3DCCD1}">
            <a14:hiddenFill xmlns=""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0.32352</cdr:x>
      <cdr:y>0.15696</cdr:y>
    </cdr:from>
    <cdr:to>
      <cdr:x>0.32472</cdr:x>
      <cdr:y>0.35696</cdr:y>
    </cdr:to>
    <cdr:sp macro="" textlink="">
      <cdr:nvSpPr>
        <cdr:cNvPr id="3" name="Line 10"/>
        <cdr:cNvSpPr>
          <a:spLocks xmlns:a="http://schemas.openxmlformats.org/drawingml/2006/main" noChangeShapeType="1"/>
        </cdr:cNvSpPr>
      </cdr:nvSpPr>
      <cdr:spPr bwMode="auto">
        <a:xfrm xmlns:a="http://schemas.openxmlformats.org/drawingml/2006/main" flipH="1" flipV="1">
          <a:off x="2672341" y="629920"/>
          <a:ext cx="9899" cy="802640"/>
        </a:xfrm>
        <a:prstGeom xmlns:a="http://schemas.openxmlformats.org/drawingml/2006/main" prst="line">
          <a:avLst/>
        </a:prstGeom>
        <a:noFill xmlns:a="http://schemas.openxmlformats.org/drawingml/2006/main"/>
        <a:ln xmlns:a="http://schemas.openxmlformats.org/drawingml/2006/main" w="22225">
          <a:solidFill>
            <a:srgbClr xmlns:mc="http://schemas.openxmlformats.org/markup-compatibility/2006" xmlns:a14="http://schemas.microsoft.com/office/drawing/2010/main" val="000000" mc:Ignorable="a14" a14:legacySpreadsheetColorIndex="64"/>
          </a:solidFill>
          <a:prstDash val="sysDot"/>
          <a:round/>
          <a:headEnd/>
          <a:tailEnd/>
        </a:ln>
        <a:extLst xmlns:a="http://schemas.openxmlformats.org/drawingml/2006/main">
          <a:ext uri="{909E8E84-426E-40dd-AFC4-6F175D3DCCD1}">
            <a14:hiddenFill xmlns=""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0.32718</cdr:x>
      <cdr:y>0.29114</cdr:y>
    </cdr:from>
    <cdr:to>
      <cdr:x>0.39765</cdr:x>
      <cdr:y>0.33671</cdr:y>
    </cdr:to>
    <cdr:sp macro="" textlink="">
      <cdr:nvSpPr>
        <cdr:cNvPr id="4" name="Line 7"/>
        <cdr:cNvSpPr>
          <a:spLocks xmlns:a="http://schemas.openxmlformats.org/drawingml/2006/main" noChangeShapeType="1"/>
        </cdr:cNvSpPr>
      </cdr:nvSpPr>
      <cdr:spPr bwMode="auto">
        <a:xfrm xmlns:a="http://schemas.openxmlformats.org/drawingml/2006/main" flipH="1">
          <a:off x="2702559" y="1168400"/>
          <a:ext cx="582087" cy="18288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sm" len="lg"/>
        </a:ln>
        <a:extLst xmlns:a="http://schemas.openxmlformats.org/drawingml/2006/main">
          <a:ext uri="{909E8E84-426E-40dd-AFC4-6F175D3DCCD1}">
            <a14:hiddenFill xmlns=""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0.39395</cdr:x>
      <cdr:y>0.29447</cdr:y>
    </cdr:from>
    <cdr:to>
      <cdr:x>0.49969</cdr:x>
      <cdr:y>0.29447</cdr:y>
    </cdr:to>
    <cdr:sp macro="" textlink="">
      <cdr:nvSpPr>
        <cdr:cNvPr id="5" name="Line 8"/>
        <cdr:cNvSpPr>
          <a:spLocks xmlns:a="http://schemas.openxmlformats.org/drawingml/2006/main" noChangeShapeType="1"/>
        </cdr:cNvSpPr>
      </cdr:nvSpPr>
      <cdr:spPr bwMode="auto">
        <a:xfrm xmlns:a="http://schemas.openxmlformats.org/drawingml/2006/main">
          <a:off x="3069978" y="1181786"/>
          <a:ext cx="823989"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0.76662</cdr:x>
      <cdr:y>0.87595</cdr:y>
    </cdr:from>
    <cdr:to>
      <cdr:x>0.83272</cdr:x>
      <cdr:y>0.91392</cdr:y>
    </cdr:to>
    <cdr:sp macro="" textlink="">
      <cdr:nvSpPr>
        <cdr:cNvPr id="6" name="Line 7"/>
        <cdr:cNvSpPr>
          <a:spLocks xmlns:a="http://schemas.openxmlformats.org/drawingml/2006/main" noChangeShapeType="1"/>
        </cdr:cNvSpPr>
      </cdr:nvSpPr>
      <cdr:spPr bwMode="auto">
        <a:xfrm xmlns:a="http://schemas.openxmlformats.org/drawingml/2006/main" flipV="1">
          <a:off x="6332369" y="3515359"/>
          <a:ext cx="545951" cy="15239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sm" len="lg"/>
        </a:ln>
        <a:extLst xmlns:a="http://schemas.openxmlformats.org/drawingml/2006/main">
          <a:ext uri="{909E8E84-426E-40dd-AFC4-6F175D3DCCD1}">
            <a14:hiddenFill xmlns=""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0.66123</cdr:x>
      <cdr:y>0.91726</cdr:y>
    </cdr:from>
    <cdr:to>
      <cdr:x>0.76697</cdr:x>
      <cdr:y>0.91726</cdr:y>
    </cdr:to>
    <cdr:sp macro="" textlink="">
      <cdr:nvSpPr>
        <cdr:cNvPr id="7" name="Line 8"/>
        <cdr:cNvSpPr>
          <a:spLocks xmlns:a="http://schemas.openxmlformats.org/drawingml/2006/main" noChangeShapeType="1"/>
        </cdr:cNvSpPr>
      </cdr:nvSpPr>
      <cdr:spPr bwMode="auto">
        <a:xfrm xmlns:a="http://schemas.openxmlformats.org/drawingml/2006/main">
          <a:off x="5152778" y="3681146"/>
          <a:ext cx="823989"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0.35984</cdr:x>
      <cdr:y>0.24557</cdr:y>
    </cdr:from>
    <cdr:to>
      <cdr:x>0.60824</cdr:x>
      <cdr:y>0.37158</cdr:y>
    </cdr:to>
    <cdr:sp macro="" textlink="">
      <cdr:nvSpPr>
        <cdr:cNvPr id="8" name="Text Box 19"/>
        <cdr:cNvSpPr txBox="1">
          <a:spLocks xmlns:a="http://schemas.openxmlformats.org/drawingml/2006/main" noChangeArrowheads="1"/>
        </cdr:cNvSpPr>
      </cdr:nvSpPr>
      <cdr:spPr bwMode="auto">
        <a:xfrm xmlns:a="http://schemas.openxmlformats.org/drawingml/2006/main">
          <a:off x="2804160" y="985520"/>
          <a:ext cx="1935670" cy="5057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US" sz="1125" b="1" i="0" u="none" strike="noStrike" baseline="0">
              <a:solidFill>
                <a:srgbClr val="FF0000"/>
              </a:solidFill>
              <a:latin typeface="Arial"/>
              <a:ea typeface="Arial"/>
              <a:cs typeface="Arial"/>
            </a:rPr>
            <a:t>A partir de 17,4%</a:t>
          </a:r>
        </a:p>
      </cdr:txBody>
    </cdr:sp>
  </cdr:relSizeAnchor>
  <cdr:relSizeAnchor xmlns:cdr="http://schemas.openxmlformats.org/drawingml/2006/chartDrawing">
    <cdr:from>
      <cdr:x>0.56193</cdr:x>
      <cdr:y>0.86329</cdr:y>
    </cdr:from>
    <cdr:to>
      <cdr:x>0.81032</cdr:x>
      <cdr:y>0.9443</cdr:y>
    </cdr:to>
    <cdr:sp macro="" textlink="">
      <cdr:nvSpPr>
        <cdr:cNvPr id="9" name="Text Box 19"/>
        <cdr:cNvSpPr txBox="1">
          <a:spLocks xmlns:a="http://schemas.openxmlformats.org/drawingml/2006/main" noChangeArrowheads="1"/>
        </cdr:cNvSpPr>
      </cdr:nvSpPr>
      <cdr:spPr bwMode="auto">
        <a:xfrm xmlns:a="http://schemas.openxmlformats.org/drawingml/2006/main">
          <a:off x="4378960" y="3464561"/>
          <a:ext cx="1935670" cy="3251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18288"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US" sz="1125" b="1" i="0" u="none" strike="noStrike" baseline="0">
              <a:solidFill>
                <a:srgbClr val="3366FF"/>
              </a:solidFill>
              <a:latin typeface="Arial"/>
              <a:ea typeface="Arial"/>
              <a:cs typeface="Arial"/>
            </a:rPr>
            <a:t>A partir de 65,9%</a:t>
          </a:r>
        </a:p>
      </cdr:txBody>
    </cdr:sp>
  </cdr:relSizeAnchor>
</c:userShapes>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142875</xdr:colOff>
          <xdr:row>206</xdr:row>
          <xdr:rowOff>28575</xdr:rowOff>
        </xdr:from>
        <xdr:to>
          <xdr:col>3</xdr:col>
          <xdr:colOff>257175</xdr:colOff>
          <xdr:row>210</xdr:row>
          <xdr:rowOff>142875</xdr:rowOff>
        </xdr:to>
        <xdr:sp macro="" textlink="">
          <xdr:nvSpPr>
            <xdr:cNvPr id="3074" name="Object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466725</xdr:colOff>
          <xdr:row>205</xdr:row>
          <xdr:rowOff>142875</xdr:rowOff>
        </xdr:from>
        <xdr:to>
          <xdr:col>9</xdr:col>
          <xdr:colOff>180975</xdr:colOff>
          <xdr:row>208</xdr:row>
          <xdr:rowOff>28575</xdr:rowOff>
        </xdr:to>
        <xdr:sp macro="" textlink="">
          <xdr:nvSpPr>
            <xdr:cNvPr id="3076" name="Object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314325</xdr:colOff>
          <xdr:row>209</xdr:row>
          <xdr:rowOff>0</xdr:rowOff>
        </xdr:from>
        <xdr:to>
          <xdr:col>7</xdr:col>
          <xdr:colOff>76200</xdr:colOff>
          <xdr:row>211</xdr:row>
          <xdr:rowOff>66675</xdr:rowOff>
        </xdr:to>
        <xdr:sp macro="" textlink="">
          <xdr:nvSpPr>
            <xdr:cNvPr id="3077" name="Object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457200</xdr:colOff>
      <xdr:row>254</xdr:row>
      <xdr:rowOff>66675</xdr:rowOff>
    </xdr:from>
    <xdr:to>
      <xdr:col>5</xdr:col>
      <xdr:colOff>423952</xdr:colOff>
      <xdr:row>269</xdr:row>
      <xdr:rowOff>19050</xdr:rowOff>
    </xdr:to>
    <xdr:pic>
      <xdr:nvPicPr>
        <xdr:cNvPr id="6" name="Imagem 5">
          <a:extLst>
            <a:ext uri="{FF2B5EF4-FFF2-40B4-BE49-F238E27FC236}">
              <a16:creationId xmlns:a16="http://schemas.microsoft.com/office/drawing/2014/main" id="{00000000-0008-0000-0300-000006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7954"/>
        <a:stretch/>
      </xdr:blipFill>
      <xdr:spPr bwMode="auto">
        <a:xfrm>
          <a:off x="1409700" y="49672875"/>
          <a:ext cx="5043577" cy="28098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2</xdr:col>
          <xdr:colOff>104775</xdr:colOff>
          <xdr:row>309</xdr:row>
          <xdr:rowOff>152400</xdr:rowOff>
        </xdr:from>
        <xdr:to>
          <xdr:col>7</xdr:col>
          <xdr:colOff>542925</xdr:colOff>
          <xdr:row>312</xdr:row>
          <xdr:rowOff>47625</xdr:rowOff>
        </xdr:to>
        <xdr:sp macro="" textlink="">
          <xdr:nvSpPr>
            <xdr:cNvPr id="3079" name="Object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428625</xdr:colOff>
          <xdr:row>313</xdr:row>
          <xdr:rowOff>28575</xdr:rowOff>
        </xdr:from>
        <xdr:to>
          <xdr:col>8</xdr:col>
          <xdr:colOff>28575</xdr:colOff>
          <xdr:row>317</xdr:row>
          <xdr:rowOff>142875</xdr:rowOff>
        </xdr:to>
        <xdr:sp macro="" textlink="">
          <xdr:nvSpPr>
            <xdr:cNvPr id="3080" name="Object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2</xdr:col>
      <xdr:colOff>333375</xdr:colOff>
      <xdr:row>264</xdr:row>
      <xdr:rowOff>114300</xdr:rowOff>
    </xdr:from>
    <xdr:to>
      <xdr:col>8</xdr:col>
      <xdr:colOff>485776</xdr:colOff>
      <xdr:row>264</xdr:row>
      <xdr:rowOff>114300</xdr:rowOff>
    </xdr:to>
    <xdr:cxnSp macro="">
      <xdr:nvCxnSpPr>
        <xdr:cNvPr id="3" name="Conector reto 2">
          <a:extLst>
            <a:ext uri="{FF2B5EF4-FFF2-40B4-BE49-F238E27FC236}">
              <a16:creationId xmlns:a16="http://schemas.microsoft.com/office/drawing/2014/main" id="{00000000-0008-0000-0300-000003000000}"/>
            </a:ext>
          </a:extLst>
        </xdr:cNvPr>
        <xdr:cNvCxnSpPr/>
      </xdr:nvCxnSpPr>
      <xdr:spPr>
        <a:xfrm flipH="1">
          <a:off x="1724025" y="50349150"/>
          <a:ext cx="4438651" cy="0"/>
        </a:xfrm>
        <a:prstGeom prst="line">
          <a:avLst/>
        </a:prstGeom>
        <a:ln>
          <a:prstDash val="sysDot"/>
        </a:ln>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304800</xdr:colOff>
      <xdr:row>259</xdr:row>
      <xdr:rowOff>9525</xdr:rowOff>
    </xdr:from>
    <xdr:to>
      <xdr:col>8</xdr:col>
      <xdr:colOff>457201</xdr:colOff>
      <xdr:row>259</xdr:row>
      <xdr:rowOff>9525</xdr:rowOff>
    </xdr:to>
    <xdr:cxnSp macro="">
      <xdr:nvCxnSpPr>
        <xdr:cNvPr id="12" name="Conector reto 11">
          <a:extLst>
            <a:ext uri="{FF2B5EF4-FFF2-40B4-BE49-F238E27FC236}">
              <a16:creationId xmlns:a16="http://schemas.microsoft.com/office/drawing/2014/main" id="{00000000-0008-0000-0300-00000C000000}"/>
            </a:ext>
          </a:extLst>
        </xdr:cNvPr>
        <xdr:cNvCxnSpPr/>
      </xdr:nvCxnSpPr>
      <xdr:spPr>
        <a:xfrm flipH="1">
          <a:off x="1695450" y="49291875"/>
          <a:ext cx="4438651" cy="0"/>
        </a:xfrm>
        <a:prstGeom prst="line">
          <a:avLst/>
        </a:prstGeom>
        <a:ln>
          <a:prstDash val="sysDot"/>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542925</xdr:colOff>
      <xdr:row>258</xdr:row>
      <xdr:rowOff>76200</xdr:rowOff>
    </xdr:from>
    <xdr:to>
      <xdr:col>3</xdr:col>
      <xdr:colOff>542925</xdr:colOff>
      <xdr:row>267</xdr:row>
      <xdr:rowOff>142875</xdr:rowOff>
    </xdr:to>
    <xdr:cxnSp macro="">
      <xdr:nvCxnSpPr>
        <xdr:cNvPr id="7" name="Conector reto 6">
          <a:extLst>
            <a:ext uri="{FF2B5EF4-FFF2-40B4-BE49-F238E27FC236}">
              <a16:creationId xmlns:a16="http://schemas.microsoft.com/office/drawing/2014/main" id="{00000000-0008-0000-0300-000007000000}"/>
            </a:ext>
          </a:extLst>
        </xdr:cNvPr>
        <xdr:cNvCxnSpPr/>
      </xdr:nvCxnSpPr>
      <xdr:spPr>
        <a:xfrm>
          <a:off x="2600325" y="49168050"/>
          <a:ext cx="0" cy="1781175"/>
        </a:xfrm>
        <a:prstGeom prst="line">
          <a:avLst/>
        </a:prstGeom>
        <a:ln>
          <a:prstDash val="sysDot"/>
        </a:ln>
      </xdr:spPr>
      <xdr:style>
        <a:lnRef idx="2">
          <a:schemeClr val="dk1"/>
        </a:lnRef>
        <a:fillRef idx="0">
          <a:schemeClr val="dk1"/>
        </a:fillRef>
        <a:effectRef idx="1">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0</xdr:col>
          <xdr:colOff>371475</xdr:colOff>
          <xdr:row>364</xdr:row>
          <xdr:rowOff>114300</xdr:rowOff>
        </xdr:from>
        <xdr:to>
          <xdr:col>6</xdr:col>
          <xdr:colOff>190500</xdr:colOff>
          <xdr:row>367</xdr:row>
          <xdr:rowOff>9525</xdr:rowOff>
        </xdr:to>
        <xdr:sp macro="" textlink="">
          <xdr:nvSpPr>
            <xdr:cNvPr id="3081" name="Object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561975</xdr:colOff>
          <xdr:row>363</xdr:row>
          <xdr:rowOff>76200</xdr:rowOff>
        </xdr:from>
        <xdr:to>
          <xdr:col>14</xdr:col>
          <xdr:colOff>47625</xdr:colOff>
          <xdr:row>368</xdr:row>
          <xdr:rowOff>9525</xdr:rowOff>
        </xdr:to>
        <xdr:sp macro="" textlink="">
          <xdr:nvSpPr>
            <xdr:cNvPr id="3082" name="Object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276225</xdr:colOff>
          <xdr:row>390</xdr:row>
          <xdr:rowOff>123825</xdr:rowOff>
        </xdr:from>
        <xdr:to>
          <xdr:col>4</xdr:col>
          <xdr:colOff>276225</xdr:colOff>
          <xdr:row>393</xdr:row>
          <xdr:rowOff>104775</xdr:rowOff>
        </xdr:to>
        <xdr:sp macro="" textlink="">
          <xdr:nvSpPr>
            <xdr:cNvPr id="3083" name="Object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485775</xdr:colOff>
          <xdr:row>386</xdr:row>
          <xdr:rowOff>114300</xdr:rowOff>
        </xdr:from>
        <xdr:to>
          <xdr:col>5</xdr:col>
          <xdr:colOff>638175</xdr:colOff>
          <xdr:row>388</xdr:row>
          <xdr:rowOff>66675</xdr:rowOff>
        </xdr:to>
        <xdr:sp macro="" textlink="">
          <xdr:nvSpPr>
            <xdr:cNvPr id="3084" name="Object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657225</xdr:colOff>
          <xdr:row>398</xdr:row>
          <xdr:rowOff>152400</xdr:rowOff>
        </xdr:from>
        <xdr:to>
          <xdr:col>4</xdr:col>
          <xdr:colOff>657225</xdr:colOff>
          <xdr:row>401</xdr:row>
          <xdr:rowOff>142875</xdr:rowOff>
        </xdr:to>
        <xdr:sp macro="" textlink="">
          <xdr:nvSpPr>
            <xdr:cNvPr id="3088" name="Object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66675</xdr:colOff>
          <xdr:row>407</xdr:row>
          <xdr:rowOff>142875</xdr:rowOff>
        </xdr:from>
        <xdr:to>
          <xdr:col>4</xdr:col>
          <xdr:colOff>523875</xdr:colOff>
          <xdr:row>410</xdr:row>
          <xdr:rowOff>0</xdr:rowOff>
        </xdr:to>
        <xdr:sp macro="" textlink="">
          <xdr:nvSpPr>
            <xdr:cNvPr id="3089" name="Object 17"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352425</xdr:colOff>
          <xdr:row>461</xdr:row>
          <xdr:rowOff>104775</xdr:rowOff>
        </xdr:from>
        <xdr:to>
          <xdr:col>10</xdr:col>
          <xdr:colOff>180975</xdr:colOff>
          <xdr:row>463</xdr:row>
          <xdr:rowOff>161925</xdr:rowOff>
        </xdr:to>
        <xdr:sp macro="" textlink="">
          <xdr:nvSpPr>
            <xdr:cNvPr id="3091" name="Object 19" hidden="1">
              <a:extLst>
                <a:ext uri="{63B3BB69-23CF-44E3-9099-C40C66FF867C}">
                  <a14:compatExt spid="_x0000_s3091"/>
                </a:ext>
                <a:ext uri="{FF2B5EF4-FFF2-40B4-BE49-F238E27FC236}">
                  <a16:creationId xmlns:a16="http://schemas.microsoft.com/office/drawing/2014/main" id="{00000000-0008-0000-0300-000013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12</xdr:col>
      <xdr:colOff>76200</xdr:colOff>
      <xdr:row>233</xdr:row>
      <xdr:rowOff>165100</xdr:rowOff>
    </xdr:from>
    <xdr:to>
      <xdr:col>20</xdr:col>
      <xdr:colOff>419100</xdr:colOff>
      <xdr:row>259</xdr:row>
      <xdr:rowOff>25400</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5.wmf"/><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oleObject" Target="../embeddings/oleObject2.bin"/><Relationship Id="rId5" Type="http://schemas.openxmlformats.org/officeDocument/2006/relationships/image" Target="../media/image4.w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8" Type="http://schemas.openxmlformats.org/officeDocument/2006/relationships/oleObject" Target="../embeddings/oleObject5.bin"/><Relationship Id="rId13" Type="http://schemas.openxmlformats.org/officeDocument/2006/relationships/image" Target="../media/image11.wmf"/><Relationship Id="rId18" Type="http://schemas.openxmlformats.org/officeDocument/2006/relationships/image" Target="../media/image13.wmf"/><Relationship Id="rId3" Type="http://schemas.openxmlformats.org/officeDocument/2006/relationships/vmlDrawing" Target="../drawings/vmlDrawing2.vml"/><Relationship Id="rId21" Type="http://schemas.openxmlformats.org/officeDocument/2006/relationships/oleObject" Target="../embeddings/oleObject13.bin"/><Relationship Id="rId7" Type="http://schemas.openxmlformats.org/officeDocument/2006/relationships/image" Target="../media/image9.wmf"/><Relationship Id="rId12" Type="http://schemas.openxmlformats.org/officeDocument/2006/relationships/oleObject" Target="../embeddings/oleObject8.bin"/><Relationship Id="rId17" Type="http://schemas.openxmlformats.org/officeDocument/2006/relationships/oleObject" Target="../embeddings/oleObject11.bin"/><Relationship Id="rId2" Type="http://schemas.openxmlformats.org/officeDocument/2006/relationships/drawing" Target="../drawings/drawing6.xml"/><Relationship Id="rId16" Type="http://schemas.openxmlformats.org/officeDocument/2006/relationships/image" Target="../media/image12.wmf"/><Relationship Id="rId20" Type="http://schemas.openxmlformats.org/officeDocument/2006/relationships/image" Target="../media/image14.wmf"/><Relationship Id="rId1" Type="http://schemas.openxmlformats.org/officeDocument/2006/relationships/printerSettings" Target="../printerSettings/printerSettings4.bin"/><Relationship Id="rId6" Type="http://schemas.openxmlformats.org/officeDocument/2006/relationships/oleObject" Target="../embeddings/oleObject4.bin"/><Relationship Id="rId11" Type="http://schemas.openxmlformats.org/officeDocument/2006/relationships/image" Target="../media/image10.wmf"/><Relationship Id="rId24" Type="http://schemas.openxmlformats.org/officeDocument/2006/relationships/image" Target="../media/image16.wmf"/><Relationship Id="rId5" Type="http://schemas.openxmlformats.org/officeDocument/2006/relationships/image" Target="../media/image8.wmf"/><Relationship Id="rId15" Type="http://schemas.openxmlformats.org/officeDocument/2006/relationships/oleObject" Target="../embeddings/oleObject10.bin"/><Relationship Id="rId23" Type="http://schemas.openxmlformats.org/officeDocument/2006/relationships/oleObject" Target="../embeddings/oleObject14.bin"/><Relationship Id="rId10" Type="http://schemas.openxmlformats.org/officeDocument/2006/relationships/oleObject" Target="../embeddings/oleObject7.bin"/><Relationship Id="rId19" Type="http://schemas.openxmlformats.org/officeDocument/2006/relationships/oleObject" Target="../embeddings/oleObject12.bin"/><Relationship Id="rId4" Type="http://schemas.openxmlformats.org/officeDocument/2006/relationships/oleObject" Target="../embeddings/oleObject3.bin"/><Relationship Id="rId9" Type="http://schemas.openxmlformats.org/officeDocument/2006/relationships/oleObject" Target="../embeddings/oleObject6.bin"/><Relationship Id="rId14" Type="http://schemas.openxmlformats.org/officeDocument/2006/relationships/oleObject" Target="../embeddings/oleObject9.bin"/><Relationship Id="rId22" Type="http://schemas.openxmlformats.org/officeDocument/2006/relationships/image" Target="../media/image15.w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sheetPr>
  <dimension ref="A1:M157"/>
  <sheetViews>
    <sheetView showGridLines="0" tabSelected="1" zoomScaleNormal="100" workbookViewId="0">
      <selection activeCell="A2" sqref="A2:J2"/>
    </sheetView>
  </sheetViews>
  <sheetFormatPr defaultColWidth="8.85546875" defaultRowHeight="15"/>
  <cols>
    <col min="1" max="1" width="12.140625" style="13" bestFit="1" customWidth="1"/>
    <col min="2" max="2" width="8.85546875" style="13"/>
    <col min="3" max="3" width="11.42578125" style="13" bestFit="1" customWidth="1"/>
    <col min="4" max="4" width="9.7109375" style="13" bestFit="1" customWidth="1"/>
    <col min="5" max="5" width="9.42578125" style="13" bestFit="1" customWidth="1"/>
    <col min="6" max="6" width="10.85546875" style="13" customWidth="1"/>
    <col min="7" max="7" width="9.28515625" style="13" bestFit="1" customWidth="1"/>
    <col min="8" max="8" width="8.85546875" style="13"/>
    <col min="9" max="9" width="7.85546875" style="13" customWidth="1"/>
    <col min="10" max="10" width="14" style="13" customWidth="1"/>
    <col min="11" max="16384" width="8.85546875" style="13"/>
  </cols>
  <sheetData>
    <row r="1" spans="1:10" ht="33.75" customHeight="1">
      <c r="A1" s="10"/>
      <c r="B1" s="11"/>
      <c r="C1" s="11"/>
      <c r="D1" s="12"/>
      <c r="E1" s="12"/>
      <c r="F1" s="12"/>
      <c r="G1" s="12"/>
      <c r="H1" s="12"/>
      <c r="I1" s="12"/>
      <c r="J1" s="12"/>
    </row>
    <row r="2" spans="1:10" ht="48" customHeight="1" thickBot="1">
      <c r="A2" s="978" t="s">
        <v>0</v>
      </c>
      <c r="B2" s="978"/>
      <c r="C2" s="978"/>
      <c r="D2" s="978"/>
      <c r="E2" s="978"/>
      <c r="F2" s="978"/>
      <c r="G2" s="978"/>
      <c r="H2" s="978"/>
      <c r="I2" s="978"/>
      <c r="J2" s="978"/>
    </row>
    <row r="3" spans="1:10">
      <c r="A3" s="973" t="s">
        <v>785</v>
      </c>
      <c r="B3" s="974"/>
      <c r="C3" s="974"/>
      <c r="D3" s="974"/>
      <c r="E3" s="974"/>
      <c r="F3" s="974"/>
      <c r="G3" s="974"/>
      <c r="H3" s="974"/>
      <c r="I3" s="974"/>
      <c r="J3" s="974"/>
    </row>
    <row r="4" spans="1:10">
      <c r="A4" s="975"/>
      <c r="B4" s="975"/>
      <c r="C4" s="975"/>
      <c r="D4" s="975"/>
      <c r="E4" s="975"/>
      <c r="F4" s="975"/>
      <c r="G4" s="975"/>
      <c r="H4" s="975"/>
      <c r="I4" s="975"/>
      <c r="J4" s="975"/>
    </row>
    <row r="5" spans="1:10">
      <c r="A5" s="976"/>
      <c r="B5" s="976"/>
      <c r="C5" s="976"/>
      <c r="D5" s="976"/>
      <c r="E5" s="976"/>
      <c r="F5" s="976"/>
      <c r="G5" s="976"/>
      <c r="H5" s="976"/>
      <c r="I5" s="976"/>
      <c r="J5" s="976"/>
    </row>
    <row r="7" spans="1:10">
      <c r="A7" s="13" t="s">
        <v>1</v>
      </c>
      <c r="B7" s="13" t="s">
        <v>2</v>
      </c>
      <c r="C7" s="14">
        <f>2.778*10^7</f>
        <v>27780000</v>
      </c>
      <c r="D7" s="13" t="s">
        <v>3</v>
      </c>
    </row>
    <row r="8" spans="1:10">
      <c r="B8" s="13" t="s">
        <v>4</v>
      </c>
      <c r="C8" s="15">
        <v>5511000</v>
      </c>
      <c r="D8" s="13" t="s">
        <v>3</v>
      </c>
    </row>
    <row r="10" spans="1:10">
      <c r="A10" s="13" t="s">
        <v>5</v>
      </c>
      <c r="B10" s="979" t="s">
        <v>6</v>
      </c>
      <c r="C10" s="979"/>
      <c r="D10" s="16">
        <v>77.33</v>
      </c>
      <c r="E10" s="14" t="s">
        <v>8</v>
      </c>
      <c r="F10" s="17" t="s">
        <v>7</v>
      </c>
      <c r="G10" s="18">
        <f>D10/D11</f>
        <v>2.7836573074154067</v>
      </c>
      <c r="H10" s="19" t="s">
        <v>8</v>
      </c>
    </row>
    <row r="11" spans="1:10" ht="17.25">
      <c r="D11" s="20">
        <v>27.78</v>
      </c>
      <c r="E11" s="13" t="s">
        <v>686</v>
      </c>
      <c r="G11" s="21"/>
      <c r="H11" s="22" t="s">
        <v>686</v>
      </c>
    </row>
    <row r="13" spans="1:10">
      <c r="B13" s="979" t="s">
        <v>9</v>
      </c>
      <c r="C13" s="979"/>
      <c r="D13" s="16">
        <v>111.66</v>
      </c>
      <c r="E13" s="14" t="s">
        <v>8</v>
      </c>
      <c r="F13" s="17" t="s">
        <v>7</v>
      </c>
      <c r="G13" s="18">
        <f>D13/D14</f>
        <v>20.261295590636905</v>
      </c>
      <c r="H13" s="19" t="s">
        <v>8</v>
      </c>
    </row>
    <row r="14" spans="1:10" ht="17.25">
      <c r="D14" s="20">
        <v>5.5110000000000001</v>
      </c>
      <c r="E14" s="13" t="s">
        <v>686</v>
      </c>
      <c r="G14" s="21"/>
      <c r="H14" s="22" t="s">
        <v>686</v>
      </c>
    </row>
    <row r="17" spans="1:10">
      <c r="B17" s="13" t="s">
        <v>10</v>
      </c>
      <c r="E17" s="23">
        <f>G13</f>
        <v>20.261295590636905</v>
      </c>
      <c r="F17" s="17" t="s">
        <v>7</v>
      </c>
      <c r="G17" s="24">
        <f>E17/E18</f>
        <v>7.2786601772648805</v>
      </c>
      <c r="H17" s="25"/>
    </row>
    <row r="18" spans="1:10">
      <c r="E18" s="26">
        <f>G10</f>
        <v>2.7836573074154067</v>
      </c>
      <c r="G18" s="27"/>
      <c r="H18" s="27"/>
    </row>
    <row r="19" spans="1:10">
      <c r="A19" s="980" t="s">
        <v>750</v>
      </c>
      <c r="B19" s="980"/>
      <c r="C19" s="980"/>
      <c r="D19" s="980"/>
      <c r="E19" s="980"/>
      <c r="F19" s="980"/>
      <c r="G19" s="980"/>
      <c r="H19" s="980"/>
      <c r="I19" s="980"/>
    </row>
    <row r="20" spans="1:10">
      <c r="A20" s="980"/>
      <c r="B20" s="980"/>
      <c r="C20" s="980"/>
      <c r="D20" s="980"/>
      <c r="E20" s="980"/>
      <c r="F20" s="980"/>
      <c r="G20" s="980"/>
      <c r="H20" s="980"/>
      <c r="I20" s="980"/>
    </row>
    <row r="21" spans="1:10">
      <c r="A21" s="28"/>
      <c r="B21" s="28"/>
      <c r="C21" s="28"/>
      <c r="D21" s="28"/>
      <c r="E21" s="28"/>
      <c r="F21" s="28"/>
      <c r="G21" s="28"/>
      <c r="H21" s="28"/>
      <c r="I21" s="28"/>
      <c r="J21" s="28"/>
    </row>
    <row r="22" spans="1:10" ht="15" customHeight="1">
      <c r="A22" s="981" t="s">
        <v>786</v>
      </c>
      <c r="B22" s="982"/>
      <c r="C22" s="982"/>
      <c r="D22" s="982"/>
      <c r="E22" s="982"/>
      <c r="F22" s="982"/>
      <c r="G22" s="982"/>
      <c r="H22" s="982"/>
      <c r="I22" s="982"/>
      <c r="J22" s="982"/>
    </row>
    <row r="23" spans="1:10">
      <c r="A23" s="975"/>
      <c r="B23" s="975"/>
      <c r="C23" s="975"/>
      <c r="D23" s="975"/>
      <c r="E23" s="975"/>
      <c r="F23" s="975"/>
      <c r="G23" s="975"/>
      <c r="H23" s="975"/>
      <c r="I23" s="975"/>
      <c r="J23" s="975"/>
    </row>
    <row r="24" spans="1:10">
      <c r="A24" s="975"/>
      <c r="B24" s="975"/>
      <c r="C24" s="975"/>
      <c r="D24" s="975"/>
      <c r="E24" s="975"/>
      <c r="F24" s="975"/>
      <c r="G24" s="975"/>
      <c r="H24" s="975"/>
      <c r="I24" s="975"/>
      <c r="J24" s="975"/>
    </row>
    <row r="25" spans="1:10">
      <c r="A25" s="975"/>
      <c r="B25" s="975"/>
      <c r="C25" s="975"/>
      <c r="D25" s="975"/>
      <c r="E25" s="975"/>
      <c r="F25" s="975"/>
      <c r="G25" s="975"/>
      <c r="H25" s="975"/>
      <c r="I25" s="975"/>
      <c r="J25" s="975"/>
    </row>
    <row r="26" spans="1:10">
      <c r="A26" s="975"/>
      <c r="B26" s="975"/>
      <c r="C26" s="975"/>
      <c r="D26" s="975"/>
      <c r="E26" s="975"/>
      <c r="F26" s="975"/>
      <c r="G26" s="975"/>
      <c r="H26" s="975"/>
      <c r="I26" s="975"/>
      <c r="J26" s="975"/>
    </row>
    <row r="27" spans="1:10">
      <c r="A27" s="975"/>
      <c r="B27" s="975"/>
      <c r="C27" s="975"/>
      <c r="D27" s="975"/>
      <c r="E27" s="975"/>
      <c r="F27" s="975"/>
      <c r="G27" s="975"/>
      <c r="H27" s="975"/>
      <c r="I27" s="975"/>
      <c r="J27" s="975"/>
    </row>
    <row r="28" spans="1:10">
      <c r="A28" s="975"/>
      <c r="B28" s="975"/>
      <c r="C28" s="975"/>
      <c r="D28" s="975"/>
      <c r="E28" s="975"/>
      <c r="F28" s="975"/>
      <c r="G28" s="975"/>
      <c r="H28" s="975"/>
      <c r="I28" s="975"/>
      <c r="J28" s="975"/>
    </row>
    <row r="29" spans="1:10">
      <c r="A29" s="975"/>
      <c r="B29" s="975"/>
      <c r="C29" s="975"/>
      <c r="D29" s="975"/>
      <c r="E29" s="975"/>
      <c r="F29" s="975"/>
      <c r="G29" s="975"/>
      <c r="H29" s="975"/>
      <c r="I29" s="975"/>
      <c r="J29" s="975"/>
    </row>
    <row r="30" spans="1:10">
      <c r="A30" s="975"/>
      <c r="B30" s="975"/>
      <c r="C30" s="975"/>
      <c r="D30" s="975"/>
      <c r="E30" s="975"/>
      <c r="F30" s="975"/>
      <c r="G30" s="975"/>
      <c r="H30" s="975"/>
      <c r="I30" s="975"/>
      <c r="J30" s="975"/>
    </row>
    <row r="31" spans="1:10">
      <c r="A31" s="975"/>
      <c r="B31" s="975"/>
      <c r="C31" s="975"/>
      <c r="D31" s="975"/>
      <c r="E31" s="975"/>
      <c r="F31" s="975"/>
      <c r="G31" s="975"/>
      <c r="H31" s="975"/>
      <c r="I31" s="975"/>
      <c r="J31" s="975"/>
    </row>
    <row r="32" spans="1:10">
      <c r="A32" s="975"/>
      <c r="B32" s="975"/>
      <c r="C32" s="975"/>
      <c r="D32" s="975"/>
      <c r="E32" s="975"/>
      <c r="F32" s="975"/>
      <c r="G32" s="975"/>
      <c r="H32" s="975"/>
      <c r="I32" s="975"/>
      <c r="J32" s="975"/>
    </row>
    <row r="34" spans="1:13">
      <c r="A34" s="13" t="s">
        <v>751</v>
      </c>
      <c r="D34" s="13">
        <v>7.2</v>
      </c>
      <c r="E34" s="17" t="s">
        <v>501</v>
      </c>
      <c r="F34" s="29">
        <v>41.8</v>
      </c>
      <c r="G34" s="13" t="s">
        <v>20</v>
      </c>
    </row>
    <row r="36" spans="1:13">
      <c r="A36" s="13" t="s">
        <v>13</v>
      </c>
      <c r="C36" s="17">
        <v>42.2</v>
      </c>
      <c r="D36" s="13" t="s">
        <v>12</v>
      </c>
      <c r="E36" s="17" t="s">
        <v>7</v>
      </c>
      <c r="F36" s="17">
        <f>C36/1000</f>
        <v>4.2200000000000001E-2</v>
      </c>
      <c r="G36" s="13" t="s">
        <v>19</v>
      </c>
    </row>
    <row r="37" spans="1:13">
      <c r="A37" s="13" t="s">
        <v>14</v>
      </c>
      <c r="C37" s="30">
        <v>0.75</v>
      </c>
    </row>
    <row r="38" spans="1:13">
      <c r="A38" s="13" t="s">
        <v>15</v>
      </c>
      <c r="C38" s="17">
        <v>65</v>
      </c>
      <c r="D38" s="13" t="s">
        <v>21</v>
      </c>
    </row>
    <row r="39" spans="1:13">
      <c r="A39" s="13" t="s">
        <v>16</v>
      </c>
      <c r="C39" s="17">
        <v>81.5</v>
      </c>
      <c r="D39" s="13" t="s">
        <v>17</v>
      </c>
      <c r="E39" s="17" t="s">
        <v>7</v>
      </c>
      <c r="F39" s="26">
        <f>C39/($F$34/$D$34)</f>
        <v>14.038277511961724</v>
      </c>
      <c r="G39" s="13" t="s">
        <v>18</v>
      </c>
    </row>
    <row r="41" spans="1:13">
      <c r="A41" s="13" t="s">
        <v>28</v>
      </c>
      <c r="C41" s="26">
        <f>C38*F36</f>
        <v>2.7429999999999999</v>
      </c>
      <c r="D41" s="13" t="s">
        <v>20</v>
      </c>
    </row>
    <row r="42" spans="1:13">
      <c r="A42" s="13" t="s">
        <v>752</v>
      </c>
      <c r="C42" s="26">
        <f>C41*C37</f>
        <v>2.0572499999999998</v>
      </c>
      <c r="D42" s="13" t="s">
        <v>20</v>
      </c>
    </row>
    <row r="43" spans="1:13">
      <c r="A43" s="13" t="s">
        <v>22</v>
      </c>
      <c r="C43" s="31">
        <f>C41*F39</f>
        <v>38.506995215311008</v>
      </c>
      <c r="D43" s="13" t="s">
        <v>8</v>
      </c>
    </row>
    <row r="45" spans="1:13">
      <c r="A45" s="13" t="s">
        <v>753</v>
      </c>
    </row>
    <row r="46" spans="1:13">
      <c r="A46" s="510"/>
      <c r="B46" s="510"/>
      <c r="C46" s="510"/>
      <c r="D46" s="510"/>
      <c r="E46" s="510"/>
      <c r="F46" s="510"/>
      <c r="G46" s="510"/>
      <c r="H46" s="510"/>
      <c r="I46" s="510"/>
      <c r="J46" s="510"/>
      <c r="L46" s="17"/>
      <c r="M46" s="17"/>
    </row>
    <row r="47" spans="1:13">
      <c r="A47" s="514"/>
      <c r="B47" s="511" t="s">
        <v>26</v>
      </c>
      <c r="C47" s="511" t="s">
        <v>27</v>
      </c>
      <c r="D47" s="983" t="s">
        <v>754</v>
      </c>
      <c r="E47" s="983"/>
      <c r="F47" s="511" t="s">
        <v>17</v>
      </c>
      <c r="G47" s="511" t="s">
        <v>18</v>
      </c>
      <c r="H47" s="983" t="s">
        <v>22</v>
      </c>
      <c r="I47" s="983"/>
      <c r="J47" s="511" t="s">
        <v>502</v>
      </c>
      <c r="L47" s="26"/>
      <c r="M47" s="26"/>
    </row>
    <row r="48" spans="1:13">
      <c r="A48" s="1493" t="s">
        <v>31</v>
      </c>
      <c r="B48" s="33">
        <v>44.98</v>
      </c>
      <c r="C48" s="34">
        <v>0.85</v>
      </c>
      <c r="D48" s="977">
        <f>$C$42/C48</f>
        <v>2.4202941176470585</v>
      </c>
      <c r="E48" s="977"/>
      <c r="F48" s="24">
        <v>190.6</v>
      </c>
      <c r="G48" s="24">
        <f>F48/($F$34/$D$34)</f>
        <v>32.830622009569375</v>
      </c>
      <c r="H48" s="977">
        <f>D48*G48</f>
        <v>79.459761328454803</v>
      </c>
      <c r="I48" s="977"/>
      <c r="J48" s="24">
        <f>D48/(B48*0.001)</f>
        <v>53.808228493709613</v>
      </c>
      <c r="L48" s="26"/>
      <c r="M48" s="26"/>
    </row>
    <row r="49" spans="1:13">
      <c r="A49" s="1493" t="s">
        <v>32</v>
      </c>
      <c r="B49" s="33">
        <v>38.729999999999997</v>
      </c>
      <c r="C49" s="34">
        <v>0.9</v>
      </c>
      <c r="D49" s="977">
        <f>$C$42/C49</f>
        <v>2.2858333333333332</v>
      </c>
      <c r="E49" s="977"/>
      <c r="F49" s="24">
        <v>74.2</v>
      </c>
      <c r="G49" s="24">
        <f>F49/($F$34/$D$34)</f>
        <v>12.780861244019139</v>
      </c>
      <c r="H49" s="977">
        <f>D49*G49</f>
        <v>29.214918660287079</v>
      </c>
      <c r="I49" s="977"/>
      <c r="J49" s="24">
        <f>D49/(B49*0.001)</f>
        <v>59.019709097168423</v>
      </c>
      <c r="L49" s="26"/>
      <c r="M49" s="26"/>
    </row>
    <row r="50" spans="1:13">
      <c r="A50" s="32" t="s">
        <v>23</v>
      </c>
      <c r="B50" s="33">
        <v>13.81</v>
      </c>
      <c r="C50" s="34">
        <v>0.35</v>
      </c>
      <c r="D50" s="977">
        <f>$C$42/C50</f>
        <v>5.8778571428571427</v>
      </c>
      <c r="E50" s="977"/>
      <c r="F50" s="24">
        <v>10.8</v>
      </c>
      <c r="G50" s="24">
        <f>F50/($F$34/$D$34)</f>
        <v>1.8602870813397132</v>
      </c>
      <c r="H50" s="977">
        <f>D50*G50</f>
        <v>10.9345017088175</v>
      </c>
      <c r="I50" s="977"/>
      <c r="J50" s="24">
        <f>D50/(B50*0.001)</f>
        <v>425.62325437053892</v>
      </c>
      <c r="L50" s="26"/>
      <c r="M50" s="26"/>
    </row>
    <row r="51" spans="1:13">
      <c r="A51" s="32" t="s">
        <v>24</v>
      </c>
      <c r="B51" s="33">
        <v>28.45</v>
      </c>
      <c r="C51" s="34">
        <v>0.55000000000000004</v>
      </c>
      <c r="D51" s="977">
        <f>$C$42/C51</f>
        <v>3.7404545454545448</v>
      </c>
      <c r="E51" s="977"/>
      <c r="F51" s="24">
        <v>47.6</v>
      </c>
      <c r="G51" s="24">
        <f>F51/($F$34/$D$34)</f>
        <v>8.1990430622009569</v>
      </c>
      <c r="H51" s="977">
        <f>D51*G51</f>
        <v>30.668147890387118</v>
      </c>
      <c r="I51" s="977"/>
      <c r="J51" s="24">
        <f>D51/(B51*0.001)</f>
        <v>131.4746764658891</v>
      </c>
      <c r="L51" s="26"/>
      <c r="M51" s="26"/>
    </row>
    <row r="52" spans="1:13">
      <c r="A52" s="28"/>
      <c r="B52" s="28"/>
      <c r="C52" s="28"/>
      <c r="D52" s="28"/>
      <c r="E52" s="28"/>
      <c r="F52" s="28"/>
      <c r="G52" s="28"/>
      <c r="H52" s="28"/>
      <c r="I52" s="28"/>
      <c r="J52" s="28"/>
    </row>
    <row r="53" spans="1:13">
      <c r="A53" s="981" t="s">
        <v>787</v>
      </c>
      <c r="B53" s="982"/>
      <c r="C53" s="982"/>
      <c r="D53" s="982"/>
      <c r="E53" s="982"/>
      <c r="F53" s="982"/>
      <c r="G53" s="982"/>
      <c r="H53" s="982"/>
      <c r="I53" s="982"/>
      <c r="J53" s="982"/>
    </row>
    <row r="54" spans="1:13">
      <c r="A54" s="986"/>
      <c r="B54" s="986"/>
      <c r="C54" s="986"/>
      <c r="D54" s="986"/>
      <c r="E54" s="986"/>
      <c r="F54" s="986"/>
      <c r="G54" s="986"/>
      <c r="H54" s="986"/>
      <c r="I54" s="986"/>
      <c r="J54" s="986"/>
    </row>
    <row r="55" spans="1:13">
      <c r="A55" s="986"/>
      <c r="B55" s="986"/>
      <c r="C55" s="986"/>
      <c r="D55" s="986"/>
      <c r="E55" s="986"/>
      <c r="F55" s="986"/>
      <c r="G55" s="986"/>
      <c r="H55" s="986"/>
      <c r="I55" s="986"/>
      <c r="J55" s="986"/>
    </row>
    <row r="56" spans="1:13">
      <c r="A56" s="35"/>
      <c r="B56" s="35"/>
      <c r="C56" s="35"/>
      <c r="D56" s="35"/>
      <c r="E56" s="35"/>
      <c r="F56" s="35"/>
      <c r="G56" s="35"/>
      <c r="H56" s="35"/>
      <c r="I56" s="35"/>
      <c r="J56" s="35"/>
    </row>
    <row r="57" spans="1:13" ht="18">
      <c r="A57" s="36" t="s">
        <v>37</v>
      </c>
      <c r="B57" s="503" t="s">
        <v>755</v>
      </c>
      <c r="C57" s="37">
        <v>44.01</v>
      </c>
      <c r="D57" s="35" t="s">
        <v>38</v>
      </c>
      <c r="E57" s="35"/>
      <c r="F57" s="35"/>
      <c r="G57" s="35"/>
      <c r="H57" s="35"/>
      <c r="I57" s="35"/>
      <c r="J57" s="35"/>
    </row>
    <row r="58" spans="1:13">
      <c r="A58" s="36"/>
      <c r="B58" s="35" t="s">
        <v>39</v>
      </c>
      <c r="C58" s="38">
        <v>12.01</v>
      </c>
      <c r="D58" s="35" t="s">
        <v>38</v>
      </c>
      <c r="E58" s="39"/>
      <c r="F58" s="35"/>
      <c r="G58" s="35"/>
      <c r="H58" s="35"/>
      <c r="I58" s="35"/>
      <c r="J58" s="35"/>
    </row>
    <row r="59" spans="1:13">
      <c r="A59" s="36"/>
      <c r="B59" s="35" t="s">
        <v>40</v>
      </c>
      <c r="C59" s="37">
        <v>15.994</v>
      </c>
      <c r="D59" s="35" t="s">
        <v>38</v>
      </c>
      <c r="E59" s="35"/>
      <c r="F59" s="35"/>
      <c r="G59" s="35"/>
      <c r="H59" s="35"/>
      <c r="I59" s="35"/>
      <c r="J59" s="35"/>
    </row>
    <row r="60" spans="1:13">
      <c r="A60" s="515"/>
      <c r="B60" s="516"/>
      <c r="C60" s="517"/>
      <c r="D60" s="516"/>
      <c r="E60" s="516"/>
      <c r="F60" s="516"/>
      <c r="G60" s="516"/>
      <c r="H60" s="516"/>
      <c r="I60" s="516"/>
      <c r="J60" s="516"/>
    </row>
    <row r="61" spans="1:13">
      <c r="A61" s="510"/>
      <c r="B61" s="510"/>
      <c r="C61" s="510"/>
      <c r="D61" s="510"/>
      <c r="E61" s="510"/>
      <c r="F61" s="510"/>
      <c r="G61" s="510"/>
      <c r="H61" s="510"/>
      <c r="I61" s="510"/>
      <c r="J61" s="510"/>
    </row>
    <row r="62" spans="1:13">
      <c r="A62" s="989" t="s">
        <v>11</v>
      </c>
      <c r="B62" s="989"/>
      <c r="C62" s="988" t="s">
        <v>29</v>
      </c>
      <c r="D62" s="988"/>
      <c r="E62" s="988" t="s">
        <v>25</v>
      </c>
      <c r="F62" s="988"/>
      <c r="G62" s="988" t="s">
        <v>34</v>
      </c>
      <c r="H62" s="988"/>
      <c r="I62" s="984" t="s">
        <v>35</v>
      </c>
      <c r="J62" s="984"/>
    </row>
    <row r="63" spans="1:13" ht="18">
      <c r="A63" s="989"/>
      <c r="B63" s="989"/>
      <c r="C63" s="987" t="s">
        <v>768</v>
      </c>
      <c r="D63" s="987"/>
      <c r="E63" s="987" t="s">
        <v>19</v>
      </c>
      <c r="F63" s="987"/>
      <c r="G63" s="987" t="s">
        <v>769</v>
      </c>
      <c r="H63" s="987"/>
      <c r="I63" s="985" t="s">
        <v>36</v>
      </c>
      <c r="J63" s="985"/>
    </row>
    <row r="64" spans="1:13">
      <c r="A64" s="972" t="s">
        <v>30</v>
      </c>
      <c r="B64" s="972"/>
      <c r="C64" s="970">
        <v>3.09436</v>
      </c>
      <c r="D64" s="970"/>
      <c r="E64" s="970">
        <f>F36</f>
        <v>4.2200000000000001E-2</v>
      </c>
      <c r="F64" s="970"/>
      <c r="G64" s="977">
        <f>C64/E64</f>
        <v>73.326066350710903</v>
      </c>
      <c r="H64" s="977"/>
      <c r="I64" s="977">
        <f>($C$58/$C$57)*G64</f>
        <v>20.010135352693432</v>
      </c>
      <c r="J64" s="977"/>
    </row>
    <row r="65" spans="1:10">
      <c r="A65" s="972" t="s">
        <v>31</v>
      </c>
      <c r="B65" s="972"/>
      <c r="C65" s="970">
        <v>3.1199699999999999</v>
      </c>
      <c r="D65" s="970"/>
      <c r="E65" s="971">
        <f>B48/1000</f>
        <v>4.4979999999999999E-2</v>
      </c>
      <c r="F65" s="971"/>
      <c r="G65" s="977">
        <f>C65/E65</f>
        <v>69.36349488661628</v>
      </c>
      <c r="H65" s="977"/>
      <c r="I65" s="977">
        <f>($C$58/$C$57)*G65</f>
        <v>18.928779222637164</v>
      </c>
      <c r="J65" s="977"/>
    </row>
    <row r="66" spans="1:10">
      <c r="A66" s="972" t="s">
        <v>32</v>
      </c>
      <c r="B66" s="972"/>
      <c r="C66" s="970">
        <v>2.0170300000000001</v>
      </c>
      <c r="D66" s="970"/>
      <c r="E66" s="971">
        <f>B49/1000</f>
        <v>3.8729999999999994E-2</v>
      </c>
      <c r="F66" s="971"/>
      <c r="G66" s="977">
        <f>C66/E66</f>
        <v>52.079266718306236</v>
      </c>
      <c r="H66" s="977"/>
      <c r="I66" s="977">
        <f>($C$58/$C$57)*G66</f>
        <v>14.212042565027447</v>
      </c>
      <c r="J66" s="977"/>
    </row>
    <row r="67" spans="1:10">
      <c r="A67" s="972" t="s">
        <v>23</v>
      </c>
      <c r="B67" s="972"/>
      <c r="C67" s="970">
        <v>1.4474100000000001</v>
      </c>
      <c r="D67" s="970"/>
      <c r="E67" s="971">
        <f>B50/1000</f>
        <v>1.3810000000000001E-2</v>
      </c>
      <c r="F67" s="971"/>
      <c r="G67" s="977">
        <f>C67/E67</f>
        <v>104.80883417813179</v>
      </c>
      <c r="H67" s="977"/>
      <c r="I67" s="977">
        <f>($C$58/$C$57)*G67</f>
        <v>28.601547341044373</v>
      </c>
      <c r="J67" s="977"/>
    </row>
    <row r="68" spans="1:10">
      <c r="A68" s="972" t="s">
        <v>33</v>
      </c>
      <c r="B68" s="972"/>
      <c r="C68" s="970">
        <v>3.0162100000000001</v>
      </c>
      <c r="D68" s="970"/>
      <c r="E68" s="971">
        <f>B51/1000</f>
        <v>2.845E-2</v>
      </c>
      <c r="F68" s="971"/>
      <c r="G68" s="977">
        <f>C68/E68</f>
        <v>106.01792618629175</v>
      </c>
      <c r="H68" s="977"/>
      <c r="I68" s="977">
        <f>($C$58/$C$57)*G68</f>
        <v>28.931499511414767</v>
      </c>
      <c r="J68" s="977"/>
    </row>
    <row r="69" spans="1:10">
      <c r="A69" s="510"/>
      <c r="B69" s="510"/>
      <c r="C69" s="510"/>
      <c r="D69" s="510"/>
      <c r="E69" s="510"/>
      <c r="F69" s="510"/>
    </row>
    <row r="70" spans="1:10">
      <c r="A70" s="989" t="s">
        <v>11</v>
      </c>
      <c r="B70" s="989"/>
      <c r="C70" s="988" t="s">
        <v>503</v>
      </c>
      <c r="D70" s="988"/>
      <c r="E70" s="988" t="s">
        <v>503</v>
      </c>
      <c r="F70" s="988"/>
    </row>
    <row r="71" spans="1:10" ht="18">
      <c r="A71" s="989"/>
      <c r="B71" s="989"/>
      <c r="C71" s="987" t="s">
        <v>770</v>
      </c>
      <c r="D71" s="987"/>
      <c r="E71" s="987" t="s">
        <v>504</v>
      </c>
      <c r="F71" s="987"/>
    </row>
    <row r="72" spans="1:10">
      <c r="A72" s="972" t="s">
        <v>30</v>
      </c>
      <c r="B72" s="972"/>
      <c r="C72" s="977">
        <f>G64*C41</f>
        <v>201.13339999999999</v>
      </c>
      <c r="D72" s="977"/>
      <c r="E72" s="977">
        <f>I64*C41</f>
        <v>54.887801272438082</v>
      </c>
      <c r="F72" s="977"/>
    </row>
    <row r="73" spans="1:10">
      <c r="A73" s="972" t="s">
        <v>31</v>
      </c>
      <c r="B73" s="972"/>
      <c r="C73" s="977">
        <f>G65*D48</f>
        <v>167.8800586535192</v>
      </c>
      <c r="D73" s="977"/>
      <c r="E73" s="977">
        <f>I65*D48</f>
        <v>45.813213006788587</v>
      </c>
      <c r="F73" s="977"/>
    </row>
    <row r="74" spans="1:10">
      <c r="A74" s="972" t="s">
        <v>32</v>
      </c>
      <c r="B74" s="972"/>
      <c r="C74" s="977">
        <f>G66*D49</f>
        <v>119.04452384026166</v>
      </c>
      <c r="D74" s="977"/>
      <c r="E74" s="977">
        <f>I66*D49</f>
        <v>32.486360629891905</v>
      </c>
      <c r="F74" s="977"/>
    </row>
    <row r="75" spans="1:10">
      <c r="A75" s="972" t="s">
        <v>23</v>
      </c>
      <c r="B75" s="972"/>
      <c r="C75" s="977">
        <f>G67*D50</f>
        <v>616.05135460846179</v>
      </c>
      <c r="D75" s="977"/>
      <c r="E75" s="977">
        <f>I67*D50</f>
        <v>168.11580933532437</v>
      </c>
      <c r="F75" s="977"/>
    </row>
    <row r="76" spans="1:10">
      <c r="A76" s="972" t="s">
        <v>33</v>
      </c>
      <c r="B76" s="972"/>
      <c r="C76" s="977">
        <f>G68*D51</f>
        <v>396.55523390317938</v>
      </c>
      <c r="D76" s="977"/>
      <c r="E76" s="977">
        <f>I68*D51</f>
        <v>108.21695885428731</v>
      </c>
      <c r="F76" s="977"/>
    </row>
    <row r="77" spans="1:10" ht="18" customHeight="1"/>
    <row r="78" spans="1:10" ht="15" customHeight="1">
      <c r="A78" s="995" t="s">
        <v>756</v>
      </c>
      <c r="B78" s="980"/>
      <c r="C78" s="980"/>
      <c r="D78" s="980"/>
      <c r="E78" s="980"/>
      <c r="F78" s="980"/>
      <c r="G78" s="980"/>
      <c r="H78" s="980"/>
      <c r="I78" s="980"/>
      <c r="J78" s="980"/>
    </row>
    <row r="79" spans="1:10">
      <c r="A79" s="980"/>
      <c r="B79" s="980"/>
      <c r="C79" s="980"/>
      <c r="D79" s="980"/>
      <c r="E79" s="980"/>
      <c r="F79" s="980"/>
      <c r="G79" s="980"/>
      <c r="H79" s="980"/>
      <c r="I79" s="980"/>
      <c r="J79" s="980"/>
    </row>
    <row r="80" spans="1:10">
      <c r="A80" s="980"/>
      <c r="B80" s="980"/>
      <c r="C80" s="980"/>
      <c r="D80" s="980"/>
      <c r="E80" s="980"/>
      <c r="F80" s="980"/>
      <c r="G80" s="980"/>
      <c r="H80" s="980"/>
      <c r="I80" s="980"/>
      <c r="J80" s="980"/>
    </row>
    <row r="81" spans="1:10">
      <c r="A81" s="980"/>
      <c r="B81" s="980"/>
      <c r="C81" s="980"/>
      <c r="D81" s="980"/>
      <c r="E81" s="980"/>
      <c r="F81" s="980"/>
      <c r="G81" s="980"/>
      <c r="H81" s="980"/>
      <c r="I81" s="980"/>
      <c r="J81" s="980"/>
    </row>
    <row r="83" spans="1:10">
      <c r="A83" s="28"/>
      <c r="B83" s="28"/>
      <c r="C83" s="28"/>
      <c r="D83" s="28"/>
      <c r="E83" s="28"/>
      <c r="F83" s="28"/>
      <c r="G83" s="28"/>
      <c r="H83" s="28"/>
      <c r="I83" s="28"/>
      <c r="J83" s="28"/>
    </row>
    <row r="84" spans="1:10" ht="15" customHeight="1">
      <c r="A84" s="981" t="s">
        <v>788</v>
      </c>
      <c r="B84" s="982"/>
      <c r="C84" s="982"/>
      <c r="D84" s="982"/>
      <c r="E84" s="982"/>
      <c r="F84" s="982"/>
      <c r="G84" s="982"/>
      <c r="H84" s="982"/>
      <c r="I84" s="982"/>
      <c r="J84" s="982"/>
    </row>
    <row r="85" spans="1:10">
      <c r="A85" s="975"/>
      <c r="B85" s="975"/>
      <c r="C85" s="975"/>
      <c r="D85" s="975"/>
      <c r="E85" s="975"/>
      <c r="F85" s="975"/>
      <c r="G85" s="975"/>
      <c r="H85" s="975"/>
      <c r="I85" s="975"/>
      <c r="J85" s="975"/>
    </row>
    <row r="86" spans="1:10">
      <c r="A86" s="513" t="s">
        <v>789</v>
      </c>
      <c r="B86" s="40"/>
      <c r="C86" s="40"/>
      <c r="D86" s="40"/>
      <c r="E86" s="40"/>
      <c r="F86" s="40"/>
      <c r="G86" s="40"/>
      <c r="H86" s="40"/>
      <c r="I86" s="40"/>
      <c r="J86" s="40"/>
    </row>
    <row r="87" spans="1:10">
      <c r="A87" s="993" t="s">
        <v>41</v>
      </c>
      <c r="B87" s="993"/>
      <c r="C87" s="993"/>
      <c r="D87" s="992" t="s">
        <v>42</v>
      </c>
      <c r="E87" s="992"/>
      <c r="F87" s="992"/>
      <c r="G87" s="992"/>
      <c r="H87" s="40"/>
      <c r="I87" s="40"/>
      <c r="J87" s="40"/>
    </row>
    <row r="88" spans="1:10" ht="30" customHeight="1">
      <c r="A88" s="993"/>
      <c r="B88" s="993"/>
      <c r="C88" s="993"/>
      <c r="D88" s="505" t="s">
        <v>758</v>
      </c>
      <c r="E88" s="41" t="s">
        <v>58</v>
      </c>
      <c r="F88" s="505" t="s">
        <v>1084</v>
      </c>
      <c r="G88" s="41" t="s">
        <v>58</v>
      </c>
      <c r="H88" s="40"/>
      <c r="I88" s="40"/>
      <c r="J88" s="40"/>
    </row>
    <row r="89" spans="1:10">
      <c r="A89" s="994" t="s">
        <v>43</v>
      </c>
      <c r="B89" s="994"/>
      <c r="C89" s="994"/>
      <c r="D89" s="507">
        <v>10</v>
      </c>
      <c r="E89" s="507">
        <v>60</v>
      </c>
      <c r="F89" s="507">
        <v>14</v>
      </c>
      <c r="G89" s="507">
        <v>100</v>
      </c>
      <c r="H89" s="512"/>
      <c r="I89" s="40"/>
      <c r="J89" s="40"/>
    </row>
    <row r="90" spans="1:10">
      <c r="A90" s="994" t="s">
        <v>44</v>
      </c>
      <c r="B90" s="994"/>
      <c r="C90" s="994"/>
      <c r="D90" s="507">
        <v>12</v>
      </c>
      <c r="E90" s="507">
        <v>10</v>
      </c>
      <c r="F90" s="507">
        <v>22</v>
      </c>
      <c r="G90" s="507">
        <v>100</v>
      </c>
      <c r="H90" s="512"/>
      <c r="I90" s="40"/>
      <c r="J90" s="40"/>
    </row>
    <row r="91" spans="1:10">
      <c r="A91" s="994" t="s">
        <v>45</v>
      </c>
      <c r="B91" s="994"/>
      <c r="C91" s="994"/>
      <c r="D91" s="507">
        <v>13</v>
      </c>
      <c r="E91" s="507">
        <v>54</v>
      </c>
      <c r="F91" s="507">
        <v>14</v>
      </c>
      <c r="G91" s="507">
        <v>90</v>
      </c>
      <c r="H91" s="512"/>
      <c r="I91" s="40"/>
      <c r="J91" s="40"/>
    </row>
    <row r="92" spans="1:10">
      <c r="A92" s="994" t="s">
        <v>46</v>
      </c>
      <c r="B92" s="994"/>
      <c r="C92" s="994"/>
      <c r="D92" s="507">
        <v>67</v>
      </c>
      <c r="E92" s="507">
        <v>20</v>
      </c>
      <c r="F92" s="507">
        <v>67</v>
      </c>
      <c r="G92" s="507">
        <v>90</v>
      </c>
      <c r="H92" s="512"/>
      <c r="I92" s="40"/>
      <c r="J92" s="40"/>
    </row>
    <row r="93" spans="1:10">
      <c r="A93" s="994" t="s">
        <v>47</v>
      </c>
      <c r="B93" s="994"/>
      <c r="C93" s="994"/>
      <c r="D93" s="506">
        <v>90</v>
      </c>
      <c r="E93" s="506">
        <v>16</v>
      </c>
      <c r="F93" s="507">
        <v>90</v>
      </c>
      <c r="G93" s="507">
        <v>32</v>
      </c>
      <c r="H93" s="512"/>
      <c r="I93" s="40"/>
      <c r="J93" s="40"/>
    </row>
    <row r="94" spans="1:10">
      <c r="A94" s="994" t="s">
        <v>48</v>
      </c>
      <c r="B94" s="994"/>
      <c r="C94" s="994"/>
      <c r="D94" s="506">
        <v>57</v>
      </c>
      <c r="E94" s="506">
        <v>5</v>
      </c>
      <c r="F94" s="507">
        <v>65</v>
      </c>
      <c r="G94" s="507">
        <v>13</v>
      </c>
      <c r="H94" s="512"/>
      <c r="I94" s="40"/>
      <c r="J94" s="40"/>
    </row>
    <row r="95" spans="1:10">
      <c r="A95" s="994" t="s">
        <v>505</v>
      </c>
      <c r="B95" s="994"/>
      <c r="C95" s="994"/>
      <c r="D95" s="506">
        <v>71</v>
      </c>
      <c r="E95" s="506">
        <v>14</v>
      </c>
      <c r="F95" s="507">
        <v>85</v>
      </c>
      <c r="G95" s="507">
        <v>15</v>
      </c>
      <c r="H95" s="512"/>
      <c r="I95" s="40"/>
      <c r="J95" s="40"/>
    </row>
    <row r="96" spans="1:10">
      <c r="A96" s="996"/>
      <c r="B96" s="996"/>
      <c r="C96" s="996"/>
      <c r="D96" s="513"/>
      <c r="E96" s="513"/>
      <c r="F96" s="513"/>
      <c r="G96" s="513"/>
      <c r="H96" s="513"/>
      <c r="I96" s="40"/>
      <c r="J96" s="40"/>
    </row>
    <row r="97" spans="1:10">
      <c r="A97" s="1007" t="s">
        <v>790</v>
      </c>
      <c r="B97" s="1008"/>
      <c r="C97" s="1008"/>
      <c r="D97" s="1008"/>
      <c r="E97" s="1008"/>
      <c r="F97" s="1008"/>
      <c r="G97" s="1008"/>
      <c r="H97" s="1008"/>
      <c r="I97" s="1008"/>
      <c r="J97" s="1008"/>
    </row>
    <row r="98" spans="1:10">
      <c r="A98" s="1008"/>
      <c r="B98" s="1008"/>
      <c r="C98" s="1008"/>
      <c r="D98" s="1008"/>
      <c r="E98" s="1008"/>
      <c r="F98" s="1008"/>
      <c r="G98" s="1008"/>
      <c r="H98" s="1008"/>
      <c r="I98" s="1008"/>
      <c r="J98" s="1008"/>
    </row>
    <row r="99" spans="1:10">
      <c r="A99" s="1009"/>
      <c r="B99" s="1009"/>
      <c r="C99" s="1009"/>
      <c r="D99" s="1009"/>
      <c r="E99" s="1009"/>
      <c r="F99" s="1009"/>
      <c r="G99" s="1009"/>
      <c r="H99" s="1009"/>
      <c r="I99" s="1009"/>
      <c r="J99" s="1009"/>
    </row>
    <row r="100" spans="1:10">
      <c r="A100" s="42"/>
      <c r="B100" s="43"/>
      <c r="C100" s="42"/>
    </row>
    <row r="101" spans="1:10">
      <c r="A101" s="504" t="s">
        <v>757</v>
      </c>
      <c r="B101" s="44"/>
      <c r="C101" s="44"/>
      <c r="D101" s="44"/>
      <c r="E101" s="44"/>
      <c r="F101" s="44"/>
      <c r="G101" s="44"/>
      <c r="H101" s="44"/>
      <c r="I101" s="44"/>
      <c r="J101" s="44"/>
    </row>
    <row r="102" spans="1:10">
      <c r="A102" s="518"/>
      <c r="B102" s="518"/>
      <c r="C102" s="518"/>
      <c r="D102" s="518"/>
      <c r="E102" s="518"/>
      <c r="F102" s="518"/>
      <c r="G102" s="518"/>
      <c r="H102" s="518"/>
      <c r="I102" s="518"/>
      <c r="J102" s="518"/>
    </row>
    <row r="103" spans="1:10">
      <c r="A103" s="983" t="s">
        <v>49</v>
      </c>
      <c r="B103" s="983"/>
      <c r="C103" s="983"/>
      <c r="D103" s="983" t="s">
        <v>50</v>
      </c>
      <c r="E103" s="983"/>
      <c r="F103" s="983"/>
      <c r="G103" s="983" t="s">
        <v>51</v>
      </c>
      <c r="H103" s="983"/>
      <c r="I103" s="983" t="s">
        <v>759</v>
      </c>
      <c r="J103" s="983"/>
    </row>
    <row r="104" spans="1:10">
      <c r="A104" s="970" t="s">
        <v>52</v>
      </c>
      <c r="B104" s="970"/>
      <c r="C104" s="970"/>
      <c r="D104" s="970" t="s">
        <v>53</v>
      </c>
      <c r="E104" s="970"/>
      <c r="F104" s="970"/>
      <c r="G104" s="977">
        <f>((E93*3*30)-(G89*3*30))/1000</f>
        <v>-7.56</v>
      </c>
      <c r="H104" s="977"/>
      <c r="I104" s="1006">
        <f>(E93*D93 - G89*F89)/(G89*F89)</f>
        <v>2.8571428571428571E-2</v>
      </c>
      <c r="J104" s="1006"/>
    </row>
    <row r="105" spans="1:10">
      <c r="A105" s="970" t="s">
        <v>52</v>
      </c>
      <c r="B105" s="970"/>
      <c r="C105" s="970"/>
      <c r="D105" s="970" t="s">
        <v>55</v>
      </c>
      <c r="E105" s="970"/>
      <c r="F105" s="970"/>
      <c r="G105" s="977">
        <f>((E92*3*30)-(G89*3*30))/1000</f>
        <v>-7.2</v>
      </c>
      <c r="H105" s="977"/>
      <c r="I105" s="1006">
        <f>(E92*D92 - G89*F89)/(G89*F89)</f>
        <v>-4.2857142857142858E-2</v>
      </c>
      <c r="J105" s="1006"/>
    </row>
    <row r="106" spans="1:10">
      <c r="A106" s="970" t="s">
        <v>54</v>
      </c>
      <c r="B106" s="970"/>
      <c r="C106" s="970"/>
      <c r="D106" s="970" t="s">
        <v>53</v>
      </c>
      <c r="E106" s="970"/>
      <c r="F106" s="970"/>
      <c r="G106" s="977">
        <f>((E93*3*30)-(G91*3*30))/1000</f>
        <v>-6.66</v>
      </c>
      <c r="H106" s="977"/>
      <c r="I106" s="1006">
        <f>(E93*D93 - G91*F91)/(G91*F91)</f>
        <v>0.14285714285714285</v>
      </c>
      <c r="J106" s="1006"/>
    </row>
    <row r="107" spans="1:10">
      <c r="A107" s="970" t="s">
        <v>54</v>
      </c>
      <c r="B107" s="970"/>
      <c r="C107" s="970"/>
      <c r="D107" s="970" t="s">
        <v>55</v>
      </c>
      <c r="E107" s="970"/>
      <c r="F107" s="970"/>
      <c r="G107" s="977">
        <f>((E92*3*30)-(G91*3*30))/1000</f>
        <v>-6.3</v>
      </c>
      <c r="H107" s="977"/>
      <c r="I107" s="1006">
        <f>(E92*D92 - G91*F91)/(G91*F91)</f>
        <v>6.3492063492063489E-2</v>
      </c>
      <c r="J107" s="1006"/>
    </row>
    <row r="108" spans="1:10" ht="15.75" customHeight="1">
      <c r="A108" s="1010" t="s">
        <v>54</v>
      </c>
      <c r="B108" s="1011"/>
      <c r="C108" s="1012"/>
      <c r="D108" s="970" t="s">
        <v>506</v>
      </c>
      <c r="E108" s="970"/>
      <c r="F108" s="970"/>
      <c r="G108" s="977">
        <f>((G95*3*30)-(G91*3*30))/1000</f>
        <v>-6.75</v>
      </c>
      <c r="H108" s="977"/>
      <c r="I108" s="1006">
        <f>(G95*F95 - G91*F91)/(G91*F91)</f>
        <v>1.1904761904761904E-2</v>
      </c>
      <c r="J108" s="1006"/>
    </row>
    <row r="109" spans="1:10" ht="54.75" customHeight="1">
      <c r="A109" s="990" t="s">
        <v>760</v>
      </c>
      <c r="B109" s="991"/>
      <c r="C109" s="991"/>
      <c r="D109" s="991"/>
      <c r="E109" s="991"/>
      <c r="F109" s="991"/>
      <c r="G109" s="991"/>
      <c r="H109" s="991"/>
      <c r="I109" s="991"/>
      <c r="J109" s="991"/>
    </row>
    <row r="110" spans="1:10">
      <c r="A110" s="45"/>
      <c r="B110" s="45"/>
      <c r="C110" s="45"/>
      <c r="D110" s="45"/>
      <c r="E110" s="45"/>
      <c r="F110" s="45"/>
      <c r="G110" s="45"/>
      <c r="H110" s="45"/>
      <c r="I110" s="45"/>
      <c r="J110" s="45"/>
    </row>
    <row r="111" spans="1:10" ht="28.5" customHeight="1">
      <c r="A111" s="1005" t="s">
        <v>791</v>
      </c>
      <c r="B111" s="1005"/>
      <c r="C111" s="1005"/>
      <c r="D111" s="1005"/>
      <c r="E111" s="1005"/>
      <c r="F111" s="1005"/>
      <c r="G111" s="1005"/>
      <c r="H111" s="1005"/>
      <c r="I111" s="1005"/>
      <c r="J111" s="1005"/>
    </row>
    <row r="112" spans="1:10">
      <c r="A112" s="508" t="s">
        <v>792</v>
      </c>
      <c r="B112" s="9"/>
      <c r="C112" s="9"/>
      <c r="D112" s="9"/>
      <c r="E112" s="9"/>
      <c r="F112" s="9"/>
      <c r="G112" s="9"/>
      <c r="H112" s="9"/>
      <c r="I112" s="9"/>
      <c r="J112" s="9"/>
    </row>
    <row r="113" spans="1:10" ht="15" customHeight="1">
      <c r="A113" s="1000" t="s">
        <v>761</v>
      </c>
      <c r="B113" s="1001"/>
      <c r="C113" s="1001"/>
      <c r="D113" s="1001"/>
      <c r="E113" s="1001"/>
      <c r="F113" s="1001"/>
      <c r="G113" s="1001"/>
      <c r="H113" s="1001"/>
      <c r="I113" s="1001"/>
      <c r="J113" s="1001"/>
    </row>
    <row r="114" spans="1:10" ht="15" customHeight="1">
      <c r="A114" s="1001"/>
      <c r="B114" s="1001"/>
      <c r="C114" s="1001"/>
      <c r="D114" s="1001"/>
      <c r="E114" s="1001"/>
      <c r="F114" s="1001"/>
      <c r="G114" s="1001"/>
      <c r="H114" s="1001"/>
      <c r="I114" s="1001"/>
      <c r="J114" s="1001"/>
    </row>
    <row r="115" spans="1:10">
      <c r="A115" s="1001"/>
      <c r="B115" s="1001"/>
      <c r="C115" s="1001"/>
      <c r="D115" s="1001"/>
      <c r="E115" s="1001"/>
      <c r="F115" s="1001"/>
      <c r="G115" s="1001"/>
      <c r="H115" s="1001"/>
      <c r="I115" s="1001"/>
      <c r="J115" s="1001"/>
    </row>
    <row r="116" spans="1:10">
      <c r="A116" s="1001"/>
      <c r="B116" s="1001"/>
      <c r="C116" s="1001"/>
      <c r="D116" s="1001"/>
      <c r="E116" s="1001"/>
      <c r="F116" s="1001"/>
      <c r="G116" s="1001"/>
      <c r="H116" s="1001"/>
      <c r="I116" s="1001"/>
      <c r="J116" s="1001"/>
    </row>
    <row r="117" spans="1:10">
      <c r="A117" s="1001"/>
      <c r="B117" s="1001"/>
      <c r="C117" s="1001"/>
      <c r="D117" s="1001"/>
      <c r="E117" s="1001"/>
      <c r="F117" s="1001"/>
      <c r="G117" s="1001"/>
      <c r="H117" s="1001"/>
      <c r="I117" s="1001"/>
      <c r="J117" s="1001"/>
    </row>
    <row r="118" spans="1:10" ht="86.25" customHeight="1">
      <c r="A118" s="999"/>
      <c r="B118" s="999"/>
      <c r="C118" s="999"/>
      <c r="D118" s="999"/>
      <c r="E118" s="999"/>
      <c r="F118" s="999"/>
      <c r="G118" s="999"/>
      <c r="H118" s="999"/>
      <c r="I118" s="999"/>
      <c r="J118" s="999"/>
    </row>
    <row r="119" spans="1:10" ht="15" customHeight="1">
      <c r="A119" s="981" t="s">
        <v>793</v>
      </c>
      <c r="B119" s="982"/>
      <c r="C119" s="982"/>
      <c r="D119" s="982"/>
      <c r="E119" s="982"/>
      <c r="F119" s="982"/>
      <c r="G119" s="982"/>
      <c r="H119" s="982"/>
      <c r="I119" s="982"/>
      <c r="J119" s="982"/>
    </row>
    <row r="120" spans="1:10">
      <c r="A120" s="975"/>
      <c r="B120" s="975"/>
      <c r="C120" s="975"/>
      <c r="D120" s="975"/>
      <c r="E120" s="975"/>
      <c r="F120" s="975"/>
      <c r="G120" s="975"/>
      <c r="H120" s="975"/>
      <c r="I120" s="975"/>
      <c r="J120" s="975"/>
    </row>
    <row r="121" spans="1:10" ht="12.75" customHeight="1">
      <c r="A121" s="975"/>
      <c r="B121" s="975"/>
      <c r="C121" s="975"/>
      <c r="D121" s="975"/>
      <c r="E121" s="975"/>
      <c r="F121" s="975"/>
      <c r="G121" s="975"/>
      <c r="H121" s="975"/>
      <c r="I121" s="975"/>
      <c r="J121" s="975"/>
    </row>
    <row r="122" spans="1:10" ht="13.5" customHeight="1">
      <c r="A122" s="997" t="s">
        <v>762</v>
      </c>
      <c r="B122" s="998"/>
      <c r="C122" s="998"/>
      <c r="D122" s="998"/>
      <c r="E122" s="998"/>
      <c r="F122" s="998"/>
      <c r="G122" s="998"/>
      <c r="H122" s="998"/>
      <c r="I122" s="998"/>
      <c r="J122" s="998"/>
    </row>
    <row r="123" spans="1:10">
      <c r="A123" s="998"/>
      <c r="B123" s="998"/>
      <c r="C123" s="998"/>
      <c r="D123" s="998"/>
      <c r="E123" s="998"/>
      <c r="F123" s="998"/>
      <c r="G123" s="998"/>
      <c r="H123" s="998"/>
      <c r="I123" s="998"/>
      <c r="J123" s="998"/>
    </row>
    <row r="124" spans="1:10">
      <c r="A124" s="998"/>
      <c r="B124" s="998"/>
      <c r="C124" s="998"/>
      <c r="D124" s="998"/>
      <c r="E124" s="998"/>
      <c r="F124" s="998"/>
      <c r="G124" s="998"/>
      <c r="H124" s="998"/>
      <c r="I124" s="998"/>
      <c r="J124" s="998"/>
    </row>
    <row r="125" spans="1:10">
      <c r="A125" s="998"/>
      <c r="B125" s="998"/>
      <c r="C125" s="998"/>
      <c r="D125" s="998"/>
      <c r="E125" s="998"/>
      <c r="F125" s="998"/>
      <c r="G125" s="998"/>
      <c r="H125" s="998"/>
      <c r="I125" s="998"/>
      <c r="J125" s="998"/>
    </row>
    <row r="126" spans="1:10">
      <c r="A126" s="998"/>
      <c r="B126" s="998"/>
      <c r="C126" s="998"/>
      <c r="D126" s="998"/>
      <c r="E126" s="998"/>
      <c r="F126" s="998"/>
      <c r="G126" s="998"/>
      <c r="H126" s="998"/>
      <c r="I126" s="998"/>
      <c r="J126" s="998"/>
    </row>
    <row r="127" spans="1:10">
      <c r="A127" s="998"/>
      <c r="B127" s="998"/>
      <c r="C127" s="998"/>
      <c r="D127" s="998"/>
      <c r="E127" s="998"/>
      <c r="F127" s="998"/>
      <c r="G127" s="998"/>
      <c r="H127" s="998"/>
      <c r="I127" s="998"/>
      <c r="J127" s="998"/>
    </row>
    <row r="128" spans="1:10">
      <c r="A128" s="998"/>
      <c r="B128" s="998"/>
      <c r="C128" s="998"/>
      <c r="D128" s="998"/>
      <c r="E128" s="998"/>
      <c r="F128" s="998"/>
      <c r="G128" s="998"/>
      <c r="H128" s="998"/>
      <c r="I128" s="998"/>
      <c r="J128" s="998"/>
    </row>
    <row r="129" spans="1:10">
      <c r="A129" s="998"/>
      <c r="B129" s="998"/>
      <c r="C129" s="998"/>
      <c r="D129" s="998"/>
      <c r="E129" s="998"/>
      <c r="F129" s="998"/>
      <c r="G129" s="998"/>
      <c r="H129" s="998"/>
      <c r="I129" s="998"/>
      <c r="J129" s="998"/>
    </row>
    <row r="130" spans="1:10">
      <c r="A130" s="998"/>
      <c r="B130" s="998"/>
      <c r="C130" s="998"/>
      <c r="D130" s="998"/>
      <c r="E130" s="998"/>
      <c r="F130" s="998"/>
      <c r="G130" s="998"/>
      <c r="H130" s="998"/>
      <c r="I130" s="998"/>
      <c r="J130" s="998"/>
    </row>
    <row r="131" spans="1:10">
      <c r="A131" s="998"/>
      <c r="B131" s="998"/>
      <c r="C131" s="998"/>
      <c r="D131" s="998"/>
      <c r="E131" s="998"/>
      <c r="F131" s="998"/>
      <c r="G131" s="998"/>
      <c r="H131" s="998"/>
      <c r="I131" s="998"/>
      <c r="J131" s="998"/>
    </row>
    <row r="132" spans="1:10" ht="15" customHeight="1">
      <c r="A132" s="998"/>
      <c r="B132" s="998"/>
      <c r="C132" s="998"/>
      <c r="D132" s="998"/>
      <c r="E132" s="998"/>
      <c r="F132" s="998"/>
      <c r="G132" s="998"/>
      <c r="H132" s="998"/>
      <c r="I132" s="998"/>
      <c r="J132" s="998"/>
    </row>
    <row r="133" spans="1:10">
      <c r="A133" s="998"/>
      <c r="B133" s="998"/>
      <c r="C133" s="998"/>
      <c r="D133" s="998"/>
      <c r="E133" s="998"/>
      <c r="F133" s="998"/>
      <c r="G133" s="998"/>
      <c r="H133" s="998"/>
      <c r="I133" s="998"/>
      <c r="J133" s="998"/>
    </row>
    <row r="134" spans="1:10" ht="15" customHeight="1">
      <c r="A134" s="998"/>
      <c r="B134" s="998"/>
      <c r="C134" s="998"/>
      <c r="D134" s="998"/>
      <c r="E134" s="998"/>
      <c r="F134" s="998"/>
      <c r="G134" s="998"/>
      <c r="H134" s="998"/>
      <c r="I134" s="998"/>
      <c r="J134" s="998"/>
    </row>
    <row r="135" spans="1:10" ht="30.75" customHeight="1">
      <c r="A135" s="999"/>
      <c r="B135" s="999"/>
      <c r="C135" s="999"/>
      <c r="D135" s="999"/>
      <c r="E135" s="999"/>
      <c r="F135" s="999"/>
      <c r="G135" s="999"/>
      <c r="H135" s="999"/>
      <c r="I135" s="999"/>
      <c r="J135" s="999"/>
    </row>
    <row r="136" spans="1:10" ht="15" customHeight="1">
      <c r="A136" s="981" t="s">
        <v>794</v>
      </c>
      <c r="B136" s="982"/>
      <c r="C136" s="982"/>
      <c r="D136" s="982"/>
      <c r="E136" s="982"/>
      <c r="F136" s="982"/>
      <c r="G136" s="982"/>
      <c r="H136" s="982"/>
      <c r="I136" s="982"/>
      <c r="J136" s="982"/>
    </row>
    <row r="137" spans="1:10">
      <c r="A137" s="975"/>
      <c r="B137" s="975"/>
      <c r="C137" s="975"/>
      <c r="D137" s="975"/>
      <c r="E137" s="975"/>
      <c r="F137" s="975"/>
      <c r="G137" s="975"/>
      <c r="H137" s="975"/>
      <c r="I137" s="975"/>
      <c r="J137" s="975"/>
    </row>
    <row r="138" spans="1:10">
      <c r="A138" s="975"/>
      <c r="B138" s="975"/>
      <c r="C138" s="975"/>
      <c r="D138" s="975"/>
      <c r="E138" s="975"/>
      <c r="F138" s="975"/>
      <c r="G138" s="975"/>
      <c r="H138" s="975"/>
      <c r="I138" s="975"/>
      <c r="J138" s="975"/>
    </row>
    <row r="139" spans="1:10">
      <c r="A139" s="975"/>
      <c r="B139" s="975"/>
      <c r="C139" s="975"/>
      <c r="D139" s="975"/>
      <c r="E139" s="975"/>
      <c r="F139" s="975"/>
      <c r="G139" s="975"/>
      <c r="H139" s="975"/>
      <c r="I139" s="975"/>
      <c r="J139" s="975"/>
    </row>
    <row r="140" spans="1:10">
      <c r="A140" s="975"/>
      <c r="B140" s="975"/>
      <c r="C140" s="975"/>
      <c r="D140" s="975"/>
      <c r="E140" s="975"/>
      <c r="F140" s="975"/>
      <c r="G140" s="975"/>
      <c r="H140" s="975"/>
      <c r="I140" s="975"/>
      <c r="J140" s="975"/>
    </row>
    <row r="141" spans="1:10" ht="17.25" customHeight="1">
      <c r="A141" s="1002" t="s">
        <v>763</v>
      </c>
      <c r="B141" s="1003"/>
      <c r="C141" s="1003"/>
      <c r="D141" s="1003"/>
      <c r="E141" s="1003"/>
      <c r="F141" s="1003"/>
      <c r="G141" s="1003"/>
      <c r="H141" s="1003"/>
      <c r="I141" s="1003"/>
      <c r="J141" s="1003"/>
    </row>
    <row r="142" spans="1:10" ht="15" customHeight="1">
      <c r="A142" s="1003"/>
      <c r="B142" s="1003"/>
      <c r="C142" s="1003"/>
      <c r="D142" s="1003"/>
      <c r="E142" s="1003"/>
      <c r="F142" s="1003"/>
      <c r="G142" s="1003"/>
      <c r="H142" s="1003"/>
      <c r="I142" s="1003"/>
      <c r="J142" s="1003"/>
    </row>
    <row r="143" spans="1:10">
      <c r="A143" s="1003"/>
      <c r="B143" s="1003"/>
      <c r="C143" s="1003"/>
      <c r="D143" s="1003"/>
      <c r="E143" s="1003"/>
      <c r="F143" s="1003"/>
      <c r="G143" s="1003"/>
      <c r="H143" s="1003"/>
      <c r="I143" s="1003"/>
      <c r="J143" s="1003"/>
    </row>
    <row r="144" spans="1:10">
      <c r="A144" s="1003"/>
      <c r="B144" s="1003"/>
      <c r="C144" s="1003"/>
      <c r="D144" s="1003"/>
      <c r="E144" s="1003"/>
      <c r="F144" s="1003"/>
      <c r="G144" s="1003"/>
      <c r="H144" s="1003"/>
      <c r="I144" s="1003"/>
      <c r="J144" s="1003"/>
    </row>
    <row r="145" spans="1:10">
      <c r="A145" s="1003"/>
      <c r="B145" s="1003"/>
      <c r="C145" s="1003"/>
      <c r="D145" s="1003"/>
      <c r="E145" s="1003"/>
      <c r="F145" s="1003"/>
      <c r="G145" s="1003"/>
      <c r="H145" s="1003"/>
      <c r="I145" s="1003"/>
      <c r="J145" s="1003"/>
    </row>
    <row r="146" spans="1:10">
      <c r="A146" s="1003"/>
      <c r="B146" s="1003"/>
      <c r="C146" s="1003"/>
      <c r="D146" s="1003"/>
      <c r="E146" s="1003"/>
      <c r="F146" s="1003"/>
      <c r="G146" s="1003"/>
      <c r="H146" s="1003"/>
      <c r="I146" s="1003"/>
      <c r="J146" s="1003"/>
    </row>
    <row r="147" spans="1:10">
      <c r="A147" s="1003"/>
      <c r="B147" s="1003"/>
      <c r="C147" s="1003"/>
      <c r="D147" s="1003"/>
      <c r="E147" s="1003"/>
      <c r="F147" s="1003"/>
      <c r="G147" s="1003"/>
      <c r="H147" s="1003"/>
      <c r="I147" s="1003"/>
      <c r="J147" s="1003"/>
    </row>
    <row r="148" spans="1:10">
      <c r="A148" s="1003"/>
      <c r="B148" s="1003"/>
      <c r="C148" s="1003"/>
      <c r="D148" s="1003"/>
      <c r="E148" s="1003"/>
      <c r="F148" s="1003"/>
      <c r="G148" s="1003"/>
      <c r="H148" s="1003"/>
      <c r="I148" s="1003"/>
      <c r="J148" s="1003"/>
    </row>
    <row r="149" spans="1:10">
      <c r="A149" s="1003"/>
      <c r="B149" s="1003"/>
      <c r="C149" s="1003"/>
      <c r="D149" s="1003"/>
      <c r="E149" s="1003"/>
      <c r="F149" s="1003"/>
      <c r="G149" s="1003"/>
      <c r="H149" s="1003"/>
      <c r="I149" s="1003"/>
      <c r="J149" s="1003"/>
    </row>
    <row r="150" spans="1:10">
      <c r="A150" s="1003"/>
      <c r="B150" s="1003"/>
      <c r="C150" s="1003"/>
      <c r="D150" s="1003"/>
      <c r="E150" s="1003"/>
      <c r="F150" s="1003"/>
      <c r="G150" s="1003"/>
      <c r="H150" s="1003"/>
      <c r="I150" s="1003"/>
      <c r="J150" s="1003"/>
    </row>
    <row r="151" spans="1:10">
      <c r="A151" s="1003"/>
      <c r="B151" s="1003"/>
      <c r="C151" s="1003"/>
      <c r="D151" s="1003"/>
      <c r="E151" s="1003"/>
      <c r="F151" s="1003"/>
      <c r="G151" s="1003"/>
      <c r="H151" s="1003"/>
      <c r="I151" s="1003"/>
      <c r="J151" s="1003"/>
    </row>
    <row r="152" spans="1:10">
      <c r="A152" s="1003"/>
      <c r="B152" s="1003"/>
      <c r="C152" s="1003"/>
      <c r="D152" s="1003"/>
      <c r="E152" s="1003"/>
      <c r="F152" s="1003"/>
      <c r="G152" s="1003"/>
      <c r="H152" s="1003"/>
      <c r="I152" s="1003"/>
      <c r="J152" s="1003"/>
    </row>
    <row r="153" spans="1:10">
      <c r="A153" s="1003"/>
      <c r="B153" s="1003"/>
      <c r="C153" s="1003"/>
      <c r="D153" s="1003"/>
      <c r="E153" s="1003"/>
      <c r="F153" s="1003"/>
      <c r="G153" s="1003"/>
      <c r="H153" s="1003"/>
      <c r="I153" s="1003"/>
      <c r="J153" s="1003"/>
    </row>
    <row r="154" spans="1:10">
      <c r="A154" s="1003"/>
      <c r="B154" s="1003"/>
      <c r="C154" s="1003"/>
      <c r="D154" s="1003"/>
      <c r="E154" s="1003"/>
      <c r="F154" s="1003"/>
      <c r="G154" s="1003"/>
      <c r="H154" s="1003"/>
      <c r="I154" s="1003"/>
      <c r="J154" s="1003"/>
    </row>
    <row r="155" spans="1:10">
      <c r="A155" s="1003"/>
      <c r="B155" s="1003"/>
      <c r="C155" s="1003"/>
      <c r="D155" s="1003"/>
      <c r="E155" s="1003"/>
      <c r="F155" s="1003"/>
      <c r="G155" s="1003"/>
      <c r="H155" s="1003"/>
      <c r="I155" s="1003"/>
      <c r="J155" s="1003"/>
    </row>
    <row r="156" spans="1:10">
      <c r="A156" s="1003"/>
      <c r="B156" s="1003"/>
      <c r="C156" s="1003"/>
      <c r="D156" s="1003"/>
      <c r="E156" s="1003"/>
      <c r="F156" s="1003"/>
      <c r="G156" s="1003"/>
      <c r="H156" s="1003"/>
      <c r="I156" s="1003"/>
      <c r="J156" s="1003"/>
    </row>
    <row r="157" spans="1:10" ht="14.25" customHeight="1">
      <c r="A157" s="1004"/>
      <c r="B157" s="1004"/>
      <c r="C157" s="1004"/>
      <c r="D157" s="1004"/>
      <c r="E157" s="1004"/>
      <c r="F157" s="1004"/>
      <c r="G157" s="1004"/>
      <c r="H157" s="1004"/>
      <c r="I157" s="1004"/>
      <c r="J157" s="1004"/>
    </row>
  </sheetData>
  <mergeCells count="115">
    <mergeCell ref="A97:J99"/>
    <mergeCell ref="A103:C103"/>
    <mergeCell ref="D103:F103"/>
    <mergeCell ref="A70:B71"/>
    <mergeCell ref="A72:B72"/>
    <mergeCell ref="A73:B73"/>
    <mergeCell ref="C76:D76"/>
    <mergeCell ref="E76:F76"/>
    <mergeCell ref="A108:C108"/>
    <mergeCell ref="G108:H108"/>
    <mergeCell ref="I108:J108"/>
    <mergeCell ref="D108:F108"/>
    <mergeCell ref="A95:C95"/>
    <mergeCell ref="C73:D73"/>
    <mergeCell ref="E73:F73"/>
    <mergeCell ref="C74:D74"/>
    <mergeCell ref="E74:F74"/>
    <mergeCell ref="C75:D75"/>
    <mergeCell ref="E75:F75"/>
    <mergeCell ref="A74:B74"/>
    <mergeCell ref="A75:B75"/>
    <mergeCell ref="A90:C90"/>
    <mergeCell ref="A91:C91"/>
    <mergeCell ref="A92:C92"/>
    <mergeCell ref="A93:C93"/>
    <mergeCell ref="A94:C94"/>
    <mergeCell ref="A96:C96"/>
    <mergeCell ref="A136:J140"/>
    <mergeCell ref="A119:J121"/>
    <mergeCell ref="A122:J135"/>
    <mergeCell ref="A113:J118"/>
    <mergeCell ref="A141:J157"/>
    <mergeCell ref="A111:J111"/>
    <mergeCell ref="I104:J104"/>
    <mergeCell ref="G105:H105"/>
    <mergeCell ref="I105:J105"/>
    <mergeCell ref="G106:H106"/>
    <mergeCell ref="I106:J106"/>
    <mergeCell ref="G107:H107"/>
    <mergeCell ref="I107:J107"/>
    <mergeCell ref="D105:F105"/>
    <mergeCell ref="A106:C106"/>
    <mergeCell ref="D106:F106"/>
    <mergeCell ref="A107:C107"/>
    <mergeCell ref="D107:F107"/>
    <mergeCell ref="G104:H104"/>
    <mergeCell ref="A104:C104"/>
    <mergeCell ref="D104:F104"/>
    <mergeCell ref="A105:C105"/>
    <mergeCell ref="A109:J109"/>
    <mergeCell ref="G103:H103"/>
    <mergeCell ref="I103:J103"/>
    <mergeCell ref="A84:J85"/>
    <mergeCell ref="D87:G87"/>
    <mergeCell ref="A87:C88"/>
    <mergeCell ref="A89:C89"/>
    <mergeCell ref="I67:J67"/>
    <mergeCell ref="I68:J68"/>
    <mergeCell ref="A78:J81"/>
    <mergeCell ref="A67:B67"/>
    <mergeCell ref="A68:B68"/>
    <mergeCell ref="C67:D67"/>
    <mergeCell ref="C68:D68"/>
    <mergeCell ref="E67:F67"/>
    <mergeCell ref="E68:F68"/>
    <mergeCell ref="G67:H67"/>
    <mergeCell ref="G68:H68"/>
    <mergeCell ref="A76:B76"/>
    <mergeCell ref="C70:D70"/>
    <mergeCell ref="C71:D71"/>
    <mergeCell ref="E70:F70"/>
    <mergeCell ref="E71:F71"/>
    <mergeCell ref="C72:D72"/>
    <mergeCell ref="E72:F72"/>
    <mergeCell ref="I66:J66"/>
    <mergeCell ref="I62:J62"/>
    <mergeCell ref="G64:H64"/>
    <mergeCell ref="G65:H65"/>
    <mergeCell ref="G66:H66"/>
    <mergeCell ref="I63:J63"/>
    <mergeCell ref="D51:E51"/>
    <mergeCell ref="H51:I51"/>
    <mergeCell ref="A53:J55"/>
    <mergeCell ref="I64:J64"/>
    <mergeCell ref="I65:J65"/>
    <mergeCell ref="A66:B66"/>
    <mergeCell ref="G63:H63"/>
    <mergeCell ref="G62:H62"/>
    <mergeCell ref="E64:F64"/>
    <mergeCell ref="E65:F65"/>
    <mergeCell ref="E62:F62"/>
    <mergeCell ref="E63:F63"/>
    <mergeCell ref="C66:D66"/>
    <mergeCell ref="A62:B63"/>
    <mergeCell ref="C63:D63"/>
    <mergeCell ref="C62:D62"/>
    <mergeCell ref="C64:D64"/>
    <mergeCell ref="C65:D65"/>
    <mergeCell ref="E66:F66"/>
    <mergeCell ref="A64:B64"/>
    <mergeCell ref="A65:B65"/>
    <mergeCell ref="A3:J5"/>
    <mergeCell ref="D50:E50"/>
    <mergeCell ref="A2:J2"/>
    <mergeCell ref="B10:C10"/>
    <mergeCell ref="B13:C13"/>
    <mergeCell ref="A19:I20"/>
    <mergeCell ref="A22:J32"/>
    <mergeCell ref="H47:I47"/>
    <mergeCell ref="H48:I48"/>
    <mergeCell ref="H49:I49"/>
    <mergeCell ref="H50:I50"/>
    <mergeCell ref="D47:E47"/>
    <mergeCell ref="D48:E48"/>
    <mergeCell ref="D49:E49"/>
  </mergeCells>
  <pageMargins left="0.511811024" right="0.511811024" top="0.78740157499999996" bottom="0.78740157499999996" header="0.31496062000000002" footer="0.31496062000000002"/>
  <pageSetup scale="97" orientation="portrait" r:id="rId1"/>
  <ignoredErrors>
    <ignoredError sqref="I107 G107" formula="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sheetPr>
  <dimension ref="A1:AA972"/>
  <sheetViews>
    <sheetView showGridLines="0" zoomScale="70" zoomScaleNormal="70" workbookViewId="0">
      <selection activeCell="A2" sqref="A2:J2"/>
    </sheetView>
  </sheetViews>
  <sheetFormatPr defaultColWidth="8.85546875" defaultRowHeight="15"/>
  <cols>
    <col min="1" max="1" width="18.42578125" style="49" customWidth="1"/>
    <col min="2" max="2" width="29.28515625" style="49" customWidth="1"/>
    <col min="3" max="3" width="20.85546875" style="49" customWidth="1"/>
    <col min="4" max="4" width="21.28515625" style="49" customWidth="1"/>
    <col min="5" max="5" width="19.140625" style="49" customWidth="1"/>
    <col min="6" max="6" width="17.85546875" style="49" customWidth="1"/>
    <col min="7" max="7" width="16" style="49" customWidth="1"/>
    <col min="8" max="8" width="16.42578125" style="49" customWidth="1"/>
    <col min="9" max="9" width="16.85546875" style="49" customWidth="1"/>
    <col min="10" max="10" width="15.42578125" style="49" customWidth="1"/>
    <col min="11" max="11" width="22.85546875" style="49" customWidth="1"/>
    <col min="12" max="12" width="12.7109375" style="49" customWidth="1"/>
    <col min="13" max="13" width="10.42578125" style="49" customWidth="1"/>
    <col min="14" max="14" width="10.5703125" style="49" customWidth="1"/>
    <col min="15" max="15" width="9.28515625" style="49" bestFit="1" customWidth="1"/>
    <col min="16" max="16" width="23.140625" style="49" customWidth="1"/>
    <col min="17" max="17" width="9.28515625" style="49" bestFit="1" customWidth="1"/>
    <col min="18" max="18" width="9.85546875" style="49" bestFit="1" customWidth="1"/>
    <col min="19" max="19" width="9.28515625" style="49" bestFit="1" customWidth="1"/>
    <col min="20" max="16384" width="8.85546875" style="49"/>
  </cols>
  <sheetData>
    <row r="1" spans="1:10" ht="31.5" customHeight="1">
      <c r="A1" s="46"/>
      <c r="B1" s="47"/>
      <c r="C1" s="47"/>
      <c r="D1" s="48"/>
      <c r="E1" s="48"/>
      <c r="F1" s="48"/>
      <c r="G1" s="48"/>
      <c r="H1" s="48"/>
      <c r="I1" s="48"/>
      <c r="J1" s="48"/>
    </row>
    <row r="2" spans="1:10" ht="48" customHeight="1" thickBot="1">
      <c r="A2" s="1118" t="s">
        <v>107</v>
      </c>
      <c r="B2" s="1118"/>
      <c r="C2" s="1118"/>
      <c r="D2" s="1118"/>
      <c r="E2" s="1118"/>
      <c r="F2" s="1118"/>
      <c r="G2" s="1118"/>
      <c r="H2" s="1118"/>
      <c r="I2" s="1118"/>
      <c r="J2" s="1118"/>
    </row>
    <row r="3" spans="1:10" ht="15" customHeight="1">
      <c r="A3" s="1059" t="s">
        <v>797</v>
      </c>
      <c r="B3" s="1059"/>
      <c r="C3" s="1059"/>
      <c r="D3" s="1059"/>
      <c r="E3" s="1059"/>
      <c r="F3" s="1059"/>
      <c r="G3" s="1059"/>
      <c r="H3" s="1059"/>
      <c r="I3" s="1059"/>
      <c r="J3" s="1059"/>
    </row>
    <row r="4" spans="1:10">
      <c r="A4" s="1060"/>
      <c r="B4" s="1060"/>
      <c r="C4" s="1060"/>
      <c r="D4" s="1060"/>
      <c r="E4" s="1060"/>
      <c r="F4" s="1060"/>
      <c r="G4" s="1060"/>
      <c r="H4" s="1060"/>
      <c r="I4" s="1060"/>
      <c r="J4" s="1060"/>
    </row>
    <row r="5" spans="1:10">
      <c r="A5" s="1060"/>
      <c r="B5" s="1060"/>
      <c r="C5" s="1060"/>
      <c r="D5" s="1060"/>
      <c r="E5" s="1060"/>
      <c r="F5" s="1060"/>
      <c r="G5" s="1060"/>
      <c r="H5" s="1060"/>
      <c r="I5" s="1060"/>
      <c r="J5" s="1060"/>
    </row>
    <row r="6" spans="1:10">
      <c r="A6" s="1060"/>
      <c r="B6" s="1060"/>
      <c r="C6" s="1060"/>
      <c r="D6" s="1060"/>
      <c r="E6" s="1060"/>
      <c r="F6" s="1060"/>
      <c r="G6" s="1060"/>
      <c r="H6" s="1060"/>
      <c r="I6" s="1060"/>
      <c r="J6" s="1060"/>
    </row>
    <row r="7" spans="1:10">
      <c r="A7" s="1060"/>
      <c r="B7" s="1060"/>
      <c r="C7" s="1060"/>
      <c r="D7" s="1060"/>
      <c r="E7" s="1060"/>
      <c r="F7" s="1060"/>
      <c r="G7" s="1060"/>
      <c r="H7" s="1060"/>
      <c r="I7" s="1060"/>
      <c r="J7" s="1060"/>
    </row>
    <row r="8" spans="1:10">
      <c r="A8" s="1060"/>
      <c r="B8" s="1060"/>
      <c r="C8" s="1060"/>
      <c r="D8" s="1060"/>
      <c r="E8" s="1060"/>
      <c r="F8" s="1060"/>
      <c r="G8" s="1060"/>
      <c r="H8" s="1060"/>
      <c r="I8" s="1060"/>
      <c r="J8" s="1060"/>
    </row>
    <row r="9" spans="1:10">
      <c r="A9" s="1060"/>
      <c r="B9" s="1060"/>
      <c r="C9" s="1060"/>
      <c r="D9" s="1060"/>
      <c r="E9" s="1060"/>
      <c r="F9" s="1060"/>
      <c r="G9" s="1060"/>
      <c r="H9" s="1060"/>
      <c r="I9" s="1060"/>
      <c r="J9" s="1060"/>
    </row>
    <row r="10" spans="1:10">
      <c r="A10" s="1060"/>
      <c r="B10" s="1060"/>
      <c r="C10" s="1060"/>
      <c r="D10" s="1060"/>
      <c r="E10" s="1060"/>
      <c r="F10" s="1060"/>
      <c r="G10" s="1060"/>
      <c r="H10" s="1060"/>
      <c r="I10" s="1060"/>
      <c r="J10" s="1060"/>
    </row>
    <row r="11" spans="1:10">
      <c r="A11" s="1060"/>
      <c r="B11" s="1060"/>
      <c r="C11" s="1060"/>
      <c r="D11" s="1060"/>
      <c r="E11" s="1060"/>
      <c r="F11" s="1060"/>
      <c r="G11" s="1060"/>
      <c r="H11" s="1060"/>
      <c r="I11" s="1060"/>
      <c r="J11" s="1060"/>
    </row>
    <row r="12" spans="1:10">
      <c r="A12" s="1060"/>
      <c r="B12" s="1060"/>
      <c r="C12" s="1060"/>
      <c r="D12" s="1060"/>
      <c r="E12" s="1060"/>
      <c r="F12" s="1060"/>
      <c r="G12" s="1060"/>
      <c r="H12" s="1060"/>
      <c r="I12" s="1060"/>
      <c r="J12" s="1060"/>
    </row>
    <row r="13" spans="1:10" ht="15" customHeight="1" thickBot="1">
      <c r="A13" s="50"/>
      <c r="B13" s="509" t="s">
        <v>813</v>
      </c>
      <c r="C13" s="51"/>
      <c r="D13" s="51"/>
      <c r="E13" s="51"/>
      <c r="F13" s="51"/>
      <c r="G13" s="51"/>
      <c r="H13" s="51"/>
      <c r="I13" s="52"/>
      <c r="J13" s="52"/>
    </row>
    <row r="14" spans="1:10" ht="15.75" thickBot="1">
      <c r="A14" s="50"/>
      <c r="B14" s="1061" t="s">
        <v>764</v>
      </c>
      <c r="C14" s="1062"/>
      <c r="D14" s="519">
        <v>1985</v>
      </c>
      <c r="E14" s="519">
        <v>1986</v>
      </c>
      <c r="F14" s="519">
        <v>1987</v>
      </c>
      <c r="G14" s="519">
        <v>1988</v>
      </c>
      <c r="H14" s="519">
        <v>1989</v>
      </c>
      <c r="I14" s="519" t="s">
        <v>59</v>
      </c>
      <c r="J14" s="52"/>
    </row>
    <row r="15" spans="1:10" ht="15" customHeight="1">
      <c r="A15" s="50"/>
      <c r="B15" s="1063" t="s">
        <v>60</v>
      </c>
      <c r="C15" s="1063"/>
      <c r="D15" s="523">
        <v>1689</v>
      </c>
      <c r="E15" s="523">
        <v>1963</v>
      </c>
      <c r="F15" s="523">
        <v>1907</v>
      </c>
      <c r="G15" s="523">
        <v>1651</v>
      </c>
      <c r="H15" s="523">
        <v>1931</v>
      </c>
      <c r="I15" s="523">
        <v>1828</v>
      </c>
      <c r="J15" s="52"/>
    </row>
    <row r="16" spans="1:10" ht="15" customHeight="1" thickBot="1">
      <c r="A16" s="50"/>
      <c r="B16" s="1064" t="s">
        <v>765</v>
      </c>
      <c r="C16" s="1065"/>
      <c r="D16" s="53">
        <v>265</v>
      </c>
      <c r="E16" s="53">
        <v>397</v>
      </c>
      <c r="F16" s="53">
        <v>475</v>
      </c>
      <c r="G16" s="53">
        <v>424</v>
      </c>
      <c r="H16" s="53">
        <v>481</v>
      </c>
      <c r="I16" s="53">
        <v>408</v>
      </c>
      <c r="J16" s="52"/>
    </row>
    <row r="17" spans="1:10" ht="15" customHeight="1">
      <c r="A17" s="50"/>
      <c r="B17" s="541" t="s">
        <v>795</v>
      </c>
      <c r="C17" s="9"/>
      <c r="D17" s="9"/>
      <c r="E17" s="9"/>
      <c r="F17" s="9"/>
      <c r="G17" s="9"/>
      <c r="H17" s="9"/>
      <c r="I17" s="52"/>
      <c r="J17" s="52"/>
    </row>
    <row r="18" spans="1:10">
      <c r="A18" s="52"/>
      <c r="B18" s="8"/>
      <c r="C18" s="8"/>
      <c r="D18" s="8"/>
      <c r="E18" s="8"/>
      <c r="F18" s="8"/>
      <c r="G18" s="8"/>
      <c r="H18" s="8"/>
      <c r="I18" s="52"/>
      <c r="J18" s="52"/>
    </row>
    <row r="19" spans="1:10">
      <c r="A19" s="1060" t="s">
        <v>61</v>
      </c>
      <c r="B19" s="1060"/>
      <c r="C19" s="1060"/>
      <c r="D19" s="1060"/>
      <c r="E19" s="1060"/>
      <c r="F19" s="1060"/>
      <c r="G19" s="1060"/>
      <c r="H19" s="1060"/>
      <c r="I19" s="1060"/>
      <c r="J19" s="1060"/>
    </row>
    <row r="20" spans="1:10">
      <c r="A20" s="1060"/>
      <c r="B20" s="1060"/>
      <c r="C20" s="1060"/>
      <c r="D20" s="1060"/>
      <c r="E20" s="1060"/>
      <c r="F20" s="1060"/>
      <c r="G20" s="1060"/>
      <c r="H20" s="1060"/>
      <c r="I20" s="1060"/>
      <c r="J20" s="1060"/>
    </row>
    <row r="21" spans="1:10">
      <c r="A21" s="54"/>
      <c r="B21" s="54"/>
      <c r="C21" s="54"/>
      <c r="D21" s="54"/>
      <c r="E21" s="54"/>
      <c r="F21" s="54"/>
      <c r="G21" s="54"/>
      <c r="H21" s="54"/>
      <c r="I21" s="54"/>
      <c r="J21" s="54"/>
    </row>
    <row r="23" spans="1:10">
      <c r="A23" s="1066" t="s">
        <v>66</v>
      </c>
      <c r="B23" s="1066"/>
      <c r="C23" s="55">
        <v>35000</v>
      </c>
      <c r="D23" s="56" t="s">
        <v>67</v>
      </c>
      <c r="F23" s="1066" t="s">
        <v>767</v>
      </c>
      <c r="G23" s="1066"/>
      <c r="H23" s="55">
        <v>7200</v>
      </c>
      <c r="I23" s="56" t="s">
        <v>67</v>
      </c>
    </row>
    <row r="24" spans="1:10">
      <c r="A24" s="1066" t="s">
        <v>62</v>
      </c>
      <c r="B24" s="1066"/>
      <c r="C24" s="55">
        <v>210</v>
      </c>
      <c r="D24" s="56" t="s">
        <v>68</v>
      </c>
      <c r="F24" s="1066" t="s">
        <v>63</v>
      </c>
      <c r="G24" s="1066"/>
      <c r="H24" s="55">
        <v>1415</v>
      </c>
      <c r="I24" s="56" t="s">
        <v>68</v>
      </c>
    </row>
    <row r="25" spans="1:10">
      <c r="A25" s="1066" t="s">
        <v>64</v>
      </c>
      <c r="B25" s="1066"/>
      <c r="C25" s="55">
        <v>3500</v>
      </c>
      <c r="D25" s="56" t="s">
        <v>75</v>
      </c>
      <c r="F25" s="1066" t="s">
        <v>65</v>
      </c>
      <c r="G25" s="1066"/>
      <c r="H25" s="55">
        <v>1200</v>
      </c>
      <c r="I25" s="56" t="s">
        <v>75</v>
      </c>
    </row>
    <row r="27" spans="1:10">
      <c r="A27" s="1066" t="s">
        <v>69</v>
      </c>
      <c r="B27" s="1066"/>
      <c r="C27" s="1066"/>
      <c r="D27" s="57"/>
      <c r="E27" s="56" t="s">
        <v>73</v>
      </c>
      <c r="H27" s="56" t="s">
        <v>74</v>
      </c>
    </row>
    <row r="28" spans="1:10">
      <c r="A28" s="1066" t="s">
        <v>60</v>
      </c>
      <c r="B28" s="1066"/>
      <c r="C28" s="55">
        <f>22*10^6</f>
        <v>22000000</v>
      </c>
      <c r="D28" s="55"/>
      <c r="E28" s="58">
        <v>0.1</v>
      </c>
      <c r="F28" s="49" t="s">
        <v>70</v>
      </c>
      <c r="H28" s="58">
        <v>0.9</v>
      </c>
      <c r="I28" s="49" t="s">
        <v>71</v>
      </c>
    </row>
    <row r="29" spans="1:10">
      <c r="A29" s="1066" t="s">
        <v>765</v>
      </c>
      <c r="B29" s="1066"/>
      <c r="C29" s="55">
        <f>1*10^6</f>
        <v>1000000</v>
      </c>
      <c r="D29" s="55"/>
      <c r="E29" s="58">
        <v>0.2</v>
      </c>
      <c r="F29" s="49" t="s">
        <v>70</v>
      </c>
      <c r="H29" s="58">
        <v>0.8</v>
      </c>
      <c r="I29" s="49" t="s">
        <v>71</v>
      </c>
    </row>
    <row r="31" spans="1:10">
      <c r="A31" s="49" t="s">
        <v>72</v>
      </c>
    </row>
    <row r="32" spans="1:10">
      <c r="B32" s="1082"/>
      <c r="C32" s="1082"/>
      <c r="D32" s="1082"/>
      <c r="E32" s="1082"/>
    </row>
    <row r="33" spans="1:10">
      <c r="A33" s="49" t="s">
        <v>766</v>
      </c>
      <c r="E33" s="56" t="s">
        <v>83</v>
      </c>
    </row>
    <row r="34" spans="1:10">
      <c r="A34" s="49" t="s">
        <v>60</v>
      </c>
      <c r="C34" s="55">
        <f>C28+((D15+E15+F15+G15+H15)*E28*1000)</f>
        <v>22914100</v>
      </c>
      <c r="D34" s="49" t="s">
        <v>77</v>
      </c>
      <c r="E34" s="59">
        <f>(C34*C24*C25)/10^12</f>
        <v>16.841863499999999</v>
      </c>
      <c r="F34" s="60" t="s">
        <v>76</v>
      </c>
    </row>
    <row r="35" spans="1:10">
      <c r="A35" s="49" t="s">
        <v>765</v>
      </c>
      <c r="C35" s="55">
        <f>C29+((D16+E16+F16+G16+H16)*E29*1000)</f>
        <v>1408400</v>
      </c>
      <c r="D35" s="49" t="s">
        <v>77</v>
      </c>
      <c r="E35" s="61">
        <f>(C35*H24*H25)/10^12</f>
        <v>2.3914632</v>
      </c>
      <c r="F35" s="62" t="s">
        <v>76</v>
      </c>
    </row>
    <row r="37" spans="1:10" ht="15" customHeight="1">
      <c r="A37" s="1083" t="s">
        <v>838</v>
      </c>
      <c r="B37" s="1084"/>
      <c r="C37" s="1084"/>
      <c r="D37" s="1084"/>
      <c r="E37" s="1084"/>
      <c r="F37" s="1084"/>
      <c r="G37" s="1084"/>
      <c r="H37" s="1084"/>
      <c r="I37" s="1084"/>
      <c r="J37" s="1084"/>
    </row>
    <row r="38" spans="1:10">
      <c r="A38" s="1084"/>
      <c r="B38" s="1084"/>
      <c r="C38" s="1084"/>
      <c r="D38" s="1084"/>
      <c r="E38" s="1084"/>
      <c r="F38" s="1084"/>
      <c r="G38" s="1084"/>
      <c r="H38" s="1084"/>
      <c r="I38" s="1084"/>
      <c r="J38" s="1084"/>
    </row>
    <row r="39" spans="1:10">
      <c r="A39" s="1084"/>
      <c r="B39" s="1084"/>
      <c r="C39" s="1084"/>
      <c r="D39" s="1084"/>
      <c r="E39" s="1084"/>
      <c r="F39" s="1084"/>
      <c r="G39" s="1084"/>
      <c r="H39" s="1084"/>
      <c r="I39" s="1084"/>
      <c r="J39" s="1084"/>
    </row>
    <row r="40" spans="1:10">
      <c r="A40" s="1084"/>
      <c r="B40" s="1084"/>
      <c r="C40" s="1084"/>
      <c r="D40" s="1084"/>
      <c r="E40" s="1084"/>
      <c r="F40" s="1084"/>
      <c r="G40" s="1084"/>
      <c r="H40" s="1084"/>
      <c r="I40" s="1084"/>
      <c r="J40" s="1084"/>
    </row>
    <row r="41" spans="1:10">
      <c r="A41" s="1084"/>
      <c r="B41" s="1084"/>
      <c r="C41" s="1084"/>
      <c r="D41" s="1084"/>
      <c r="E41" s="1084"/>
      <c r="F41" s="1084"/>
      <c r="G41" s="1084"/>
      <c r="H41" s="1084"/>
      <c r="I41" s="1084"/>
      <c r="J41" s="1084"/>
    </row>
    <row r="42" spans="1:10">
      <c r="A42" s="1084"/>
      <c r="B42" s="1084"/>
      <c r="C42" s="1084"/>
      <c r="D42" s="1084"/>
      <c r="E42" s="1084"/>
      <c r="F42" s="1084"/>
      <c r="G42" s="1084"/>
      <c r="H42" s="1084"/>
      <c r="I42" s="1084"/>
      <c r="J42" s="1084"/>
    </row>
    <row r="43" spans="1:10">
      <c r="A43" s="1084"/>
      <c r="B43" s="1084"/>
      <c r="C43" s="1084"/>
      <c r="D43" s="1084"/>
      <c r="E43" s="1084"/>
      <c r="F43" s="1084"/>
      <c r="G43" s="1084"/>
      <c r="H43" s="1084"/>
      <c r="I43" s="1084"/>
      <c r="J43" s="1084"/>
    </row>
    <row r="44" spans="1:10">
      <c r="A44" s="1085"/>
      <c r="B44" s="1085"/>
      <c r="C44" s="1085"/>
      <c r="D44" s="1085"/>
      <c r="E44" s="1085"/>
      <c r="F44" s="1085"/>
      <c r="G44" s="1085"/>
      <c r="H44" s="1085"/>
      <c r="I44" s="1085"/>
      <c r="J44" s="1085"/>
    </row>
    <row r="45" spans="1:10" ht="15" customHeight="1">
      <c r="A45" s="1073" t="s">
        <v>814</v>
      </c>
      <c r="B45" s="1074"/>
      <c r="C45" s="1074"/>
      <c r="D45" s="1074"/>
      <c r="E45" s="1074"/>
      <c r="F45" s="1074"/>
      <c r="G45" s="1074"/>
      <c r="H45" s="1074"/>
      <c r="I45" s="1074"/>
      <c r="J45" s="1074"/>
    </row>
    <row r="46" spans="1:10">
      <c r="A46" s="1075"/>
      <c r="B46" s="1075"/>
      <c r="C46" s="1075"/>
      <c r="D46" s="1075"/>
      <c r="E46" s="1075"/>
      <c r="F46" s="1075"/>
      <c r="G46" s="1075"/>
      <c r="H46" s="1075"/>
      <c r="I46" s="1075"/>
      <c r="J46" s="1075"/>
    </row>
    <row r="47" spans="1:10">
      <c r="A47" s="1075"/>
      <c r="B47" s="1075"/>
      <c r="C47" s="1075"/>
      <c r="D47" s="1075"/>
      <c r="E47" s="1075"/>
      <c r="F47" s="1075"/>
      <c r="G47" s="1075"/>
      <c r="H47" s="1075"/>
      <c r="I47" s="1075"/>
      <c r="J47" s="1075"/>
    </row>
    <row r="48" spans="1:10">
      <c r="A48" s="1075"/>
      <c r="B48" s="1075"/>
      <c r="C48" s="1075"/>
      <c r="D48" s="1075"/>
      <c r="E48" s="1075"/>
      <c r="F48" s="1075"/>
      <c r="G48" s="1075"/>
      <c r="H48" s="1075"/>
      <c r="I48" s="1075"/>
      <c r="J48" s="1075"/>
    </row>
    <row r="49" spans="1:11">
      <c r="A49" s="63"/>
      <c r="B49" s="63"/>
      <c r="C49" s="63"/>
      <c r="D49" s="63"/>
      <c r="E49" s="63"/>
      <c r="F49" s="63"/>
      <c r="G49" s="63"/>
      <c r="H49" s="63"/>
      <c r="I49" s="63"/>
      <c r="J49" s="63"/>
    </row>
    <row r="50" spans="1:11" ht="15.75" thickBot="1">
      <c r="A50" s="64"/>
      <c r="B50" s="520" t="s">
        <v>798</v>
      </c>
      <c r="C50" s="65"/>
      <c r="D50" s="65"/>
      <c r="E50" s="66"/>
      <c r="F50" s="66"/>
      <c r="G50" s="66"/>
      <c r="H50" s="66"/>
      <c r="I50" s="66"/>
      <c r="J50" s="63"/>
    </row>
    <row r="51" spans="1:11" ht="15" customHeight="1">
      <c r="A51" s="64"/>
      <c r="B51" s="1076" t="s">
        <v>764</v>
      </c>
      <c r="C51" s="1077"/>
      <c r="D51" s="1077"/>
      <c r="E51" s="1071" t="s">
        <v>78</v>
      </c>
      <c r="F51" s="521"/>
      <c r="G51" s="64"/>
      <c r="H51" s="64"/>
      <c r="I51" s="64"/>
      <c r="J51" s="64"/>
    </row>
    <row r="52" spans="1:11" ht="15.75" thickBot="1">
      <c r="A52" s="64"/>
      <c r="B52" s="1078"/>
      <c r="C52" s="1079"/>
      <c r="D52" s="1079"/>
      <c r="E52" s="1072"/>
      <c r="F52" s="521"/>
      <c r="G52" s="64"/>
      <c r="H52" s="64"/>
      <c r="I52" s="64"/>
      <c r="J52" s="64"/>
    </row>
    <row r="53" spans="1:11">
      <c r="A53" s="64"/>
      <c r="B53" s="1080" t="s">
        <v>79</v>
      </c>
      <c r="C53" s="1081"/>
      <c r="D53" s="1081"/>
      <c r="E53" s="67">
        <v>110</v>
      </c>
      <c r="F53" s="64"/>
      <c r="G53" s="64"/>
      <c r="H53" s="64"/>
      <c r="I53" s="64"/>
      <c r="J53" s="64"/>
    </row>
    <row r="54" spans="1:11">
      <c r="A54" s="64"/>
      <c r="B54" s="1086" t="s">
        <v>80</v>
      </c>
      <c r="C54" s="1089"/>
      <c r="D54" s="1089"/>
      <c r="E54" s="68">
        <v>50</v>
      </c>
      <c r="F54" s="64"/>
      <c r="G54" s="64"/>
      <c r="H54" s="64"/>
      <c r="I54" s="64"/>
      <c r="J54" s="64"/>
    </row>
    <row r="55" spans="1:11">
      <c r="A55" s="64"/>
      <c r="B55" s="1086" t="s">
        <v>81</v>
      </c>
      <c r="C55" s="1089"/>
      <c r="D55" s="1089"/>
      <c r="E55" s="68">
        <v>174</v>
      </c>
      <c r="F55" s="64"/>
      <c r="G55" s="64"/>
      <c r="H55" s="64"/>
      <c r="I55" s="64"/>
      <c r="J55" s="64"/>
    </row>
    <row r="56" spans="1:11">
      <c r="A56" s="64"/>
      <c r="B56" s="1086" t="s">
        <v>60</v>
      </c>
      <c r="C56" s="1089"/>
      <c r="D56" s="1089"/>
      <c r="E56" s="68">
        <v>763</v>
      </c>
      <c r="F56" s="64"/>
      <c r="G56" s="64"/>
      <c r="H56" s="64"/>
      <c r="I56" s="64"/>
      <c r="J56" s="64"/>
    </row>
    <row r="57" spans="1:11">
      <c r="A57" s="64"/>
      <c r="B57" s="1086" t="s">
        <v>92</v>
      </c>
      <c r="C57" s="1089"/>
      <c r="D57" s="1089"/>
      <c r="E57" s="68">
        <v>431</v>
      </c>
      <c r="F57" s="64"/>
      <c r="G57" s="64"/>
      <c r="H57" s="64"/>
      <c r="I57" s="64"/>
      <c r="J57" s="64"/>
    </row>
    <row r="58" spans="1:11">
      <c r="A58" s="64"/>
      <c r="B58" s="1086" t="s">
        <v>765</v>
      </c>
      <c r="C58" s="1089"/>
      <c r="D58" s="1089"/>
      <c r="E58" s="522">
        <v>1115</v>
      </c>
      <c r="F58" s="64"/>
      <c r="G58" s="64"/>
      <c r="H58" s="64"/>
      <c r="I58" s="64"/>
      <c r="J58" s="64"/>
    </row>
    <row r="59" spans="1:11" ht="15.75" thickBot="1">
      <c r="A59" s="64"/>
      <c r="B59" s="1067" t="s">
        <v>82</v>
      </c>
      <c r="C59" s="1068"/>
      <c r="D59" s="1068"/>
      <c r="E59" s="69">
        <v>265</v>
      </c>
      <c r="F59" s="64"/>
      <c r="G59" s="64"/>
      <c r="H59" s="64"/>
      <c r="I59" s="64"/>
      <c r="J59" s="64"/>
    </row>
    <row r="60" spans="1:11">
      <c r="A60" s="64"/>
      <c r="B60" s="1069" t="s">
        <v>771</v>
      </c>
      <c r="C60" s="1070"/>
      <c r="D60" s="1070"/>
      <c r="E60" s="64"/>
      <c r="F60" s="64"/>
      <c r="G60" s="64"/>
      <c r="H60" s="64"/>
      <c r="I60" s="64"/>
      <c r="J60" s="64"/>
    </row>
    <row r="61" spans="1:11">
      <c r="A61" s="64"/>
      <c r="B61" s="64"/>
      <c r="C61" s="64"/>
      <c r="D61" s="64"/>
      <c r="E61" s="64"/>
      <c r="F61" s="64"/>
      <c r="G61" s="64"/>
      <c r="H61" s="64"/>
      <c r="I61" s="64"/>
      <c r="J61" s="64"/>
    </row>
    <row r="62" spans="1:11" ht="15.75" thickBot="1">
      <c r="A62" s="64"/>
      <c r="B62" s="524" t="s">
        <v>772</v>
      </c>
      <c r="C62" s="64"/>
      <c r="D62" s="64"/>
      <c r="E62" s="64"/>
      <c r="F62" s="64"/>
      <c r="G62" s="64"/>
      <c r="H62" s="64"/>
      <c r="I62" s="64"/>
      <c r="J62" s="64"/>
    </row>
    <row r="63" spans="1:11" ht="15.75" thickBot="1">
      <c r="A63" s="1070"/>
      <c r="B63" s="1086"/>
      <c r="C63" s="525" t="s">
        <v>84</v>
      </c>
      <c r="D63" s="525" t="s">
        <v>85</v>
      </c>
      <c r="E63" s="525" t="s">
        <v>86</v>
      </c>
      <c r="F63" s="525" t="s">
        <v>87</v>
      </c>
      <c r="G63" s="525" t="s">
        <v>88</v>
      </c>
      <c r="H63" s="525" t="s">
        <v>89</v>
      </c>
      <c r="I63" s="525" t="s">
        <v>90</v>
      </c>
      <c r="J63" s="117"/>
    </row>
    <row r="64" spans="1:11">
      <c r="A64" s="1087" t="s">
        <v>93</v>
      </c>
      <c r="B64" s="1088"/>
      <c r="C64" s="542">
        <v>2416918</v>
      </c>
      <c r="D64" s="542">
        <v>1520913</v>
      </c>
      <c r="E64" s="542">
        <v>323194</v>
      </c>
      <c r="F64" s="542">
        <v>1446262</v>
      </c>
      <c r="G64" s="542">
        <v>286533</v>
      </c>
      <c r="H64" s="542">
        <v>1030928</v>
      </c>
      <c r="I64" s="542">
        <v>201000</v>
      </c>
      <c r="J64" s="529"/>
      <c r="K64" s="527"/>
    </row>
    <row r="65" spans="1:11" ht="31.5" customHeight="1">
      <c r="A65" s="1097" t="s">
        <v>79</v>
      </c>
      <c r="B65" s="1098"/>
      <c r="C65" s="535">
        <v>88</v>
      </c>
      <c r="D65" s="535">
        <v>85</v>
      </c>
      <c r="E65" s="535">
        <v>86</v>
      </c>
      <c r="F65" s="535">
        <v>57</v>
      </c>
      <c r="G65" s="535" t="s">
        <v>91</v>
      </c>
      <c r="H65" s="535" t="s">
        <v>91</v>
      </c>
      <c r="I65" s="535">
        <v>98</v>
      </c>
      <c r="J65" s="529"/>
      <c r="K65" s="527"/>
    </row>
    <row r="66" spans="1:11" ht="31.5" customHeight="1">
      <c r="A66" s="1097" t="s">
        <v>80</v>
      </c>
      <c r="B66" s="1098"/>
      <c r="C66" s="535">
        <v>93</v>
      </c>
      <c r="D66" s="535">
        <v>88</v>
      </c>
      <c r="E66" s="535">
        <v>84</v>
      </c>
      <c r="F66" s="535">
        <v>98</v>
      </c>
      <c r="G66" s="535" t="s">
        <v>91</v>
      </c>
      <c r="H66" s="535" t="s">
        <v>91</v>
      </c>
      <c r="I66" s="535">
        <v>60</v>
      </c>
      <c r="J66" s="529"/>
      <c r="K66" s="527"/>
    </row>
    <row r="67" spans="1:11" ht="31.5" customHeight="1">
      <c r="A67" s="1097" t="s">
        <v>81</v>
      </c>
      <c r="B67" s="1098"/>
      <c r="C67" s="535">
        <v>119</v>
      </c>
      <c r="D67" s="535">
        <v>96</v>
      </c>
      <c r="E67" s="535">
        <v>78</v>
      </c>
      <c r="F67" s="535" t="s">
        <v>91</v>
      </c>
      <c r="G67" s="535" t="s">
        <v>91</v>
      </c>
      <c r="H67" s="535">
        <v>100</v>
      </c>
      <c r="I67" s="535">
        <v>114</v>
      </c>
      <c r="J67" s="529"/>
      <c r="K67" s="527"/>
    </row>
    <row r="68" spans="1:11" ht="31.5" customHeight="1">
      <c r="A68" s="1097" t="s">
        <v>60</v>
      </c>
      <c r="B68" s="1098"/>
      <c r="C68" s="535">
        <v>87</v>
      </c>
      <c r="D68" s="535">
        <v>93</v>
      </c>
      <c r="E68" s="535">
        <v>40</v>
      </c>
      <c r="F68" s="535">
        <v>42</v>
      </c>
      <c r="G68" s="535">
        <v>54</v>
      </c>
      <c r="H68" s="535">
        <v>98</v>
      </c>
      <c r="I68" s="535">
        <v>84</v>
      </c>
      <c r="J68" s="529"/>
      <c r="K68" s="527"/>
    </row>
    <row r="69" spans="1:11" ht="31.5" customHeight="1">
      <c r="A69" s="1097" t="s">
        <v>92</v>
      </c>
      <c r="B69" s="1098"/>
      <c r="C69" s="535">
        <v>1</v>
      </c>
      <c r="D69" s="535" t="s">
        <v>91</v>
      </c>
      <c r="E69" s="535">
        <v>41</v>
      </c>
      <c r="F69" s="535">
        <v>5</v>
      </c>
      <c r="G69" s="535"/>
      <c r="H69" s="535">
        <v>17</v>
      </c>
      <c r="I69" s="535">
        <v>10</v>
      </c>
      <c r="J69" s="529"/>
      <c r="K69" s="527"/>
    </row>
    <row r="70" spans="1:11" ht="31.5" customHeight="1">
      <c r="A70" s="1097" t="s">
        <v>765</v>
      </c>
      <c r="B70" s="1098"/>
      <c r="C70" s="535">
        <v>2</v>
      </c>
      <c r="D70" s="535" t="s">
        <v>91</v>
      </c>
      <c r="E70" s="535">
        <v>2</v>
      </c>
      <c r="F70" s="535">
        <v>15</v>
      </c>
      <c r="G70" s="535">
        <v>0</v>
      </c>
      <c r="H70" s="535">
        <v>51</v>
      </c>
      <c r="I70" s="535">
        <v>23</v>
      </c>
      <c r="J70" s="529"/>
      <c r="K70" s="527"/>
    </row>
    <row r="71" spans="1:11" ht="31.5" customHeight="1" thickBot="1">
      <c r="A71" s="1090" t="s">
        <v>82</v>
      </c>
      <c r="B71" s="1091"/>
      <c r="C71" s="537">
        <v>84</v>
      </c>
      <c r="D71" s="537" t="s">
        <v>91</v>
      </c>
      <c r="E71" s="537">
        <v>8</v>
      </c>
      <c r="F71" s="537">
        <v>20</v>
      </c>
      <c r="G71" s="537">
        <v>76</v>
      </c>
      <c r="H71" s="537">
        <v>89</v>
      </c>
      <c r="I71" s="537">
        <v>13</v>
      </c>
      <c r="J71" s="529"/>
      <c r="K71" s="527"/>
    </row>
    <row r="72" spans="1:11">
      <c r="A72" s="526" t="s">
        <v>796</v>
      </c>
      <c r="B72" s="64"/>
      <c r="C72" s="64"/>
      <c r="D72" s="64"/>
      <c r="E72" s="64"/>
      <c r="F72" s="64"/>
      <c r="G72" s="64"/>
      <c r="H72" s="64"/>
      <c r="I72" s="64"/>
      <c r="J72" s="64"/>
    </row>
    <row r="74" spans="1:11" ht="16.5" thickBot="1">
      <c r="A74" s="527" t="s">
        <v>773</v>
      </c>
    </row>
    <row r="75" spans="1:11" ht="15.75" thickBot="1">
      <c r="A75" s="70"/>
      <c r="B75" s="70"/>
      <c r="C75" s="70"/>
      <c r="D75" s="528" t="s">
        <v>84</v>
      </c>
      <c r="E75" s="528" t="s">
        <v>85</v>
      </c>
      <c r="F75" s="528" t="s">
        <v>86</v>
      </c>
      <c r="G75" s="528" t="s">
        <v>87</v>
      </c>
      <c r="H75" s="528" t="s">
        <v>88</v>
      </c>
      <c r="I75" s="528" t="s">
        <v>89</v>
      </c>
      <c r="J75" s="528" t="s">
        <v>90</v>
      </c>
      <c r="K75" s="56"/>
    </row>
    <row r="76" spans="1:11">
      <c r="A76" s="1092" t="s">
        <v>79</v>
      </c>
      <c r="B76" s="1093"/>
      <c r="C76" s="1093"/>
      <c r="D76" s="71">
        <f t="shared" ref="D76:G77" si="0">C$64*C65*($E53/10^6)</f>
        <v>23395.766240000001</v>
      </c>
      <c r="E76" s="71">
        <f t="shared" si="0"/>
        <v>14220.536550000001</v>
      </c>
      <c r="F76" s="71">
        <f t="shared" si="0"/>
        <v>3057.4152400000003</v>
      </c>
      <c r="G76" s="71">
        <f t="shared" si="0"/>
        <v>9068.0627400000012</v>
      </c>
      <c r="H76" s="72" t="s">
        <v>94</v>
      </c>
      <c r="I76" s="72" t="s">
        <v>94</v>
      </c>
      <c r="J76" s="71">
        <f t="shared" ref="J76:J82" si="1">I$64*I65*($E53/10^6)</f>
        <v>2166.7800000000002</v>
      </c>
    </row>
    <row r="77" spans="1:11">
      <c r="A77" s="1095" t="s">
        <v>80</v>
      </c>
      <c r="B77" s="1096"/>
      <c r="C77" s="1096"/>
      <c r="D77" s="73">
        <f t="shared" si="0"/>
        <v>11238.6687</v>
      </c>
      <c r="E77" s="73">
        <f t="shared" si="0"/>
        <v>6692.0172000000002</v>
      </c>
      <c r="F77" s="73">
        <f t="shared" si="0"/>
        <v>1357.4148</v>
      </c>
      <c r="G77" s="73">
        <f t="shared" si="0"/>
        <v>7086.6838000000007</v>
      </c>
      <c r="H77" s="74" t="s">
        <v>94</v>
      </c>
      <c r="I77" s="74" t="s">
        <v>94</v>
      </c>
      <c r="J77" s="73">
        <f t="shared" si="1"/>
        <v>603</v>
      </c>
    </row>
    <row r="78" spans="1:11">
      <c r="A78" s="1095" t="s">
        <v>81</v>
      </c>
      <c r="B78" s="1096"/>
      <c r="C78" s="1096"/>
      <c r="D78" s="73">
        <f t="shared" ref="D78:F79" si="2">C$64*C67*($E55/10^6)</f>
        <v>50044.704107999998</v>
      </c>
      <c r="E78" s="73">
        <f t="shared" si="2"/>
        <v>25405.330752000002</v>
      </c>
      <c r="F78" s="73">
        <f t="shared" si="2"/>
        <v>4386.3889680000002</v>
      </c>
      <c r="G78" s="74" t="s">
        <v>94</v>
      </c>
      <c r="H78" s="74" t="s">
        <v>94</v>
      </c>
      <c r="I78" s="73">
        <f>H$64*H67*($E55/10^6)</f>
        <v>17938.147199999999</v>
      </c>
      <c r="J78" s="73">
        <f t="shared" si="1"/>
        <v>3987.0360000000001</v>
      </c>
    </row>
    <row r="79" spans="1:11">
      <c r="A79" s="1095" t="s">
        <v>60</v>
      </c>
      <c r="B79" s="1096"/>
      <c r="C79" s="1096"/>
      <c r="D79" s="73">
        <f t="shared" si="2"/>
        <v>160437.433758</v>
      </c>
      <c r="E79" s="73">
        <f t="shared" si="2"/>
        <v>107922.46556700001</v>
      </c>
      <c r="F79" s="73">
        <f t="shared" si="2"/>
        <v>9863.8808800000006</v>
      </c>
      <c r="G79" s="73">
        <f t="shared" ref="G79:H82" si="3">F$64*F68*($E56/10^6)</f>
        <v>46346.912052</v>
      </c>
      <c r="H79" s="73">
        <f t="shared" si="3"/>
        <v>11805.732666</v>
      </c>
      <c r="I79" s="73">
        <f>H$64*H68*($E56/10^6)</f>
        <v>77086.610272000005</v>
      </c>
      <c r="J79" s="73">
        <f t="shared" si="1"/>
        <v>12882.492</v>
      </c>
    </row>
    <row r="80" spans="1:11">
      <c r="A80" s="1127" t="s">
        <v>92</v>
      </c>
      <c r="B80" s="1096"/>
      <c r="C80" s="1096"/>
      <c r="D80" s="73">
        <f>C$64*C69*($E57/10^6)</f>
        <v>1041.691658</v>
      </c>
      <c r="E80" s="74" t="s">
        <v>94</v>
      </c>
      <c r="F80" s="73">
        <f>E$64*E69*($E57/10^6)</f>
        <v>5711.1611739999998</v>
      </c>
      <c r="G80" s="73">
        <f t="shared" si="3"/>
        <v>3116.69461</v>
      </c>
      <c r="H80" s="73">
        <f t="shared" si="3"/>
        <v>0</v>
      </c>
      <c r="I80" s="73">
        <f>H$64*H69*($E57/10^6)</f>
        <v>7553.6094560000001</v>
      </c>
      <c r="J80" s="73">
        <f t="shared" si="1"/>
        <v>866.31000000000006</v>
      </c>
    </row>
    <row r="81" spans="1:11">
      <c r="A81" s="1127" t="s">
        <v>765</v>
      </c>
      <c r="B81" s="1096"/>
      <c r="C81" s="1096"/>
      <c r="D81" s="73">
        <f>C$64*C70*($E58/10^6)</f>
        <v>5389.7271400000009</v>
      </c>
      <c r="E81" s="74" t="s">
        <v>94</v>
      </c>
      <c r="F81" s="73">
        <f>E$64*E70*($E58/10^6)</f>
        <v>720.72262000000012</v>
      </c>
      <c r="G81" s="73">
        <f t="shared" si="3"/>
        <v>24188.731950000001</v>
      </c>
      <c r="H81" s="73">
        <f t="shared" si="3"/>
        <v>0</v>
      </c>
      <c r="I81" s="73">
        <f>H$64*H70*($E58/10^6)</f>
        <v>58623.720720000005</v>
      </c>
      <c r="J81" s="73">
        <f t="shared" si="1"/>
        <v>5154.6450000000004</v>
      </c>
    </row>
    <row r="82" spans="1:11" ht="15.75" thickBot="1">
      <c r="A82" s="1128" t="s">
        <v>82</v>
      </c>
      <c r="B82" s="1129"/>
      <c r="C82" s="1129"/>
      <c r="D82" s="75">
        <f>C$64*C71*($E59/10^6)</f>
        <v>53800.594679999995</v>
      </c>
      <c r="E82" s="76" t="s">
        <v>94</v>
      </c>
      <c r="F82" s="75">
        <f>E$64*E71*($E59/10^6)</f>
        <v>685.17128000000002</v>
      </c>
      <c r="G82" s="75">
        <f t="shared" si="3"/>
        <v>7665.1885999999995</v>
      </c>
      <c r="H82" s="75">
        <f t="shared" si="3"/>
        <v>5770.7746200000001</v>
      </c>
      <c r="I82" s="75">
        <f>H$64*H71*($E59/10^6)</f>
        <v>24314.436879999997</v>
      </c>
      <c r="J82" s="75">
        <f t="shared" si="1"/>
        <v>692.44499999999994</v>
      </c>
    </row>
    <row r="83" spans="1:11">
      <c r="A83" s="77"/>
      <c r="B83" s="77"/>
      <c r="C83" s="77"/>
      <c r="D83" s="71"/>
      <c r="E83" s="72"/>
      <c r="F83" s="71"/>
      <c r="G83" s="71"/>
      <c r="H83" s="71"/>
      <c r="I83" s="71"/>
      <c r="J83" s="71"/>
    </row>
    <row r="84" spans="1:11" ht="90" customHeight="1">
      <c r="A84" s="1102" t="s">
        <v>774</v>
      </c>
      <c r="B84" s="1103"/>
      <c r="C84" s="1103"/>
      <c r="D84" s="1103"/>
      <c r="E84" s="1103"/>
      <c r="F84" s="1103"/>
      <c r="G84" s="1103"/>
      <c r="H84" s="1103"/>
      <c r="I84" s="1103"/>
      <c r="J84" s="1103"/>
    </row>
    <row r="85" spans="1:11">
      <c r="A85" s="78"/>
      <c r="B85" s="78"/>
      <c r="C85" s="78"/>
      <c r="D85" s="78"/>
      <c r="E85" s="78"/>
      <c r="F85" s="78"/>
      <c r="G85" s="78"/>
      <c r="H85" s="78"/>
      <c r="I85" s="78"/>
      <c r="J85" s="78"/>
    </row>
    <row r="86" spans="1:11" ht="15" customHeight="1">
      <c r="A86" s="1099" t="s">
        <v>778</v>
      </c>
      <c r="B86" s="1100"/>
      <c r="C86" s="1100"/>
      <c r="D86" s="1100"/>
      <c r="E86" s="1100"/>
      <c r="F86" s="1100"/>
      <c r="G86" s="1100"/>
      <c r="H86" s="1100"/>
      <c r="I86" s="1100"/>
      <c r="J86" s="1100"/>
    </row>
    <row r="87" spans="1:11">
      <c r="A87" s="1101"/>
      <c r="B87" s="1101"/>
      <c r="C87" s="1101"/>
      <c r="D87" s="1101"/>
      <c r="E87" s="1101"/>
      <c r="F87" s="1101"/>
      <c r="G87" s="1101"/>
      <c r="H87" s="1101"/>
      <c r="I87" s="1101"/>
      <c r="J87" s="1101"/>
    </row>
    <row r="88" spans="1:11">
      <c r="A88" s="1101"/>
      <c r="B88" s="1101"/>
      <c r="C88" s="1101"/>
      <c r="D88" s="1101"/>
      <c r="E88" s="1101"/>
      <c r="F88" s="1101"/>
      <c r="G88" s="1101"/>
      <c r="H88" s="1101"/>
      <c r="I88" s="1101"/>
      <c r="J88" s="1101"/>
    </row>
    <row r="89" spans="1:11">
      <c r="A89" s="79"/>
      <c r="B89" s="79"/>
      <c r="C89" s="79"/>
      <c r="D89" s="79"/>
      <c r="E89" s="79"/>
      <c r="F89" s="79"/>
      <c r="G89" s="79"/>
      <c r="H89" s="79"/>
      <c r="I89" s="79"/>
      <c r="J89" s="79"/>
    </row>
    <row r="90" spans="1:11" ht="15.75" thickBot="1">
      <c r="A90" s="524" t="s">
        <v>777</v>
      </c>
      <c r="B90" s="79"/>
      <c r="C90" s="79"/>
      <c r="D90" s="79"/>
      <c r="E90" s="79"/>
      <c r="F90" s="79"/>
      <c r="G90" s="79"/>
      <c r="H90" s="79"/>
      <c r="I90" s="79"/>
      <c r="J90" s="79"/>
    </row>
    <row r="91" spans="1:11" ht="15" customHeight="1">
      <c r="A91" s="1124" t="s">
        <v>95</v>
      </c>
      <c r="B91" s="1124"/>
      <c r="C91" s="1124"/>
      <c r="D91" s="530" t="s">
        <v>96</v>
      </c>
      <c r="E91" s="531" t="s">
        <v>87</v>
      </c>
      <c r="F91" s="531" t="s">
        <v>97</v>
      </c>
      <c r="G91" s="531" t="s">
        <v>98</v>
      </c>
      <c r="H91" s="531" t="s">
        <v>99</v>
      </c>
      <c r="I91" s="531" t="s">
        <v>775</v>
      </c>
      <c r="J91" s="117"/>
      <c r="K91" s="527"/>
    </row>
    <row r="92" spans="1:11" ht="15.75" thickBot="1">
      <c r="A92" s="1125"/>
      <c r="B92" s="1125"/>
      <c r="C92" s="1125"/>
      <c r="D92" s="532" t="s">
        <v>100</v>
      </c>
      <c r="E92" s="533" t="s">
        <v>100</v>
      </c>
      <c r="F92" s="533" t="s">
        <v>100</v>
      </c>
      <c r="G92" s="533" t="s">
        <v>100</v>
      </c>
      <c r="H92" s="533" t="s">
        <v>100</v>
      </c>
      <c r="I92" s="533" t="s">
        <v>100</v>
      </c>
      <c r="J92" s="117"/>
      <c r="K92" s="527"/>
    </row>
    <row r="93" spans="1:11">
      <c r="A93" s="1126" t="s">
        <v>776</v>
      </c>
      <c r="B93" s="1126"/>
      <c r="C93" s="1126"/>
      <c r="D93" s="534">
        <v>80</v>
      </c>
      <c r="E93" s="535">
        <v>73</v>
      </c>
      <c r="F93" s="535">
        <v>85</v>
      </c>
      <c r="G93" s="535">
        <v>85</v>
      </c>
      <c r="H93" s="535">
        <v>75</v>
      </c>
      <c r="I93" s="535">
        <v>49</v>
      </c>
      <c r="J93" s="529"/>
      <c r="K93" s="527"/>
    </row>
    <row r="94" spans="1:11" ht="15" customHeight="1">
      <c r="A94" s="1126" t="s">
        <v>101</v>
      </c>
      <c r="B94" s="1126"/>
      <c r="C94" s="1126"/>
      <c r="D94" s="534">
        <v>6</v>
      </c>
      <c r="E94" s="535">
        <v>3</v>
      </c>
      <c r="F94" s="535">
        <v>7</v>
      </c>
      <c r="G94" s="535">
        <v>10</v>
      </c>
      <c r="H94" s="535">
        <v>7</v>
      </c>
      <c r="I94" s="535">
        <v>2</v>
      </c>
      <c r="J94" s="529"/>
      <c r="K94" s="527"/>
    </row>
    <row r="95" spans="1:11" ht="15" customHeight="1">
      <c r="A95" s="1126" t="s">
        <v>102</v>
      </c>
      <c r="B95" s="1126"/>
      <c r="C95" s="1126"/>
      <c r="D95" s="534">
        <v>2</v>
      </c>
      <c r="E95" s="535" t="s">
        <v>91</v>
      </c>
      <c r="F95" s="535">
        <v>3</v>
      </c>
      <c r="G95" s="535" t="s">
        <v>91</v>
      </c>
      <c r="H95" s="535">
        <v>3</v>
      </c>
      <c r="I95" s="535" t="s">
        <v>91</v>
      </c>
      <c r="J95" s="529"/>
      <c r="K95" s="527"/>
    </row>
    <row r="96" spans="1:11" ht="15" customHeight="1">
      <c r="A96" s="1126" t="s">
        <v>103</v>
      </c>
      <c r="B96" s="1126"/>
      <c r="C96" s="1126"/>
      <c r="D96" s="534">
        <v>2</v>
      </c>
      <c r="E96" s="535" t="s">
        <v>91</v>
      </c>
      <c r="F96" s="535">
        <v>3</v>
      </c>
      <c r="G96" s="535" t="s">
        <v>91</v>
      </c>
      <c r="H96" s="535">
        <v>3</v>
      </c>
      <c r="I96" s="535">
        <v>10</v>
      </c>
      <c r="J96" s="529"/>
      <c r="K96" s="527"/>
    </row>
    <row r="97" spans="1:11" ht="15" customHeight="1">
      <c r="A97" s="1126" t="s">
        <v>104</v>
      </c>
      <c r="B97" s="1126"/>
      <c r="C97" s="1126"/>
      <c r="D97" s="534" t="s">
        <v>91</v>
      </c>
      <c r="E97" s="535">
        <v>11</v>
      </c>
      <c r="F97" s="535" t="s">
        <v>91</v>
      </c>
      <c r="G97" s="535" t="s">
        <v>91</v>
      </c>
      <c r="H97" s="535" t="s">
        <v>91</v>
      </c>
      <c r="I97" s="535">
        <v>32</v>
      </c>
      <c r="J97" s="529"/>
      <c r="K97" s="527"/>
    </row>
    <row r="98" spans="1:11" ht="15" customHeight="1">
      <c r="A98" s="1126" t="s">
        <v>105</v>
      </c>
      <c r="B98" s="1126"/>
      <c r="C98" s="1126"/>
      <c r="D98" s="534">
        <v>8</v>
      </c>
      <c r="E98" s="535" t="s">
        <v>91</v>
      </c>
      <c r="F98" s="535">
        <v>2</v>
      </c>
      <c r="G98" s="535" t="s">
        <v>91</v>
      </c>
      <c r="H98" s="535">
        <v>12</v>
      </c>
      <c r="I98" s="535">
        <v>7</v>
      </c>
      <c r="J98" s="529"/>
      <c r="K98" s="527"/>
    </row>
    <row r="99" spans="1:11" ht="15.75" thickBot="1">
      <c r="A99" s="1090" t="s">
        <v>106</v>
      </c>
      <c r="B99" s="1090"/>
      <c r="C99" s="1090"/>
      <c r="D99" s="536">
        <v>2</v>
      </c>
      <c r="E99" s="537">
        <v>13</v>
      </c>
      <c r="F99" s="537" t="s">
        <v>91</v>
      </c>
      <c r="G99" s="537">
        <v>5</v>
      </c>
      <c r="H99" s="537" t="s">
        <v>91</v>
      </c>
      <c r="I99" s="537" t="s">
        <v>91</v>
      </c>
      <c r="J99" s="529"/>
      <c r="K99" s="527"/>
    </row>
    <row r="100" spans="1:11">
      <c r="A100" s="538" t="s">
        <v>799</v>
      </c>
      <c r="B100" s="538"/>
      <c r="C100" s="538"/>
      <c r="D100" s="538"/>
      <c r="E100" s="538"/>
      <c r="F100" s="538"/>
      <c r="G100" s="538"/>
      <c r="H100" s="538"/>
      <c r="I100" s="529"/>
      <c r="J100" s="529"/>
      <c r="K100" s="527"/>
    </row>
    <row r="101" spans="1:11">
      <c r="A101" s="64"/>
      <c r="B101" s="64"/>
      <c r="C101" s="64"/>
      <c r="D101" s="64"/>
      <c r="E101" s="64"/>
      <c r="F101" s="64"/>
      <c r="G101" s="64"/>
      <c r="H101" s="64"/>
      <c r="I101" s="64"/>
      <c r="J101" s="64"/>
    </row>
    <row r="102" spans="1:11">
      <c r="A102" s="1116" t="s">
        <v>779</v>
      </c>
      <c r="B102" s="1117"/>
      <c r="C102" s="1117"/>
      <c r="D102" s="1117"/>
      <c r="E102" s="1117"/>
      <c r="F102" s="1117"/>
      <c r="G102" s="1117"/>
      <c r="H102" s="1117"/>
      <c r="I102" s="1117"/>
      <c r="J102" s="64"/>
    </row>
    <row r="103" spans="1:11">
      <c r="A103" s="1117"/>
      <c r="B103" s="1117"/>
      <c r="C103" s="1117"/>
      <c r="D103" s="1117"/>
      <c r="E103" s="1117"/>
      <c r="F103" s="1117"/>
      <c r="G103" s="1117"/>
      <c r="H103" s="1117"/>
      <c r="I103" s="1117"/>
      <c r="J103" s="64"/>
    </row>
    <row r="104" spans="1:11">
      <c r="A104" s="64"/>
      <c r="B104" s="64"/>
      <c r="C104" s="64"/>
      <c r="D104" s="64"/>
      <c r="E104" s="64"/>
      <c r="F104" s="64"/>
      <c r="G104" s="64"/>
      <c r="H104" s="64"/>
      <c r="I104" s="64"/>
      <c r="J104" s="64"/>
    </row>
    <row r="105" spans="1:11">
      <c r="A105" s="1119" t="s">
        <v>839</v>
      </c>
      <c r="B105" s="1119"/>
      <c r="C105" s="1119"/>
      <c r="D105" s="1119"/>
      <c r="E105" s="1119"/>
      <c r="F105" s="1119"/>
      <c r="G105" s="1119"/>
      <c r="H105" s="1119"/>
      <c r="I105" s="1119"/>
      <c r="J105" s="1119"/>
    </row>
    <row r="106" spans="1:11">
      <c r="A106" s="1119"/>
      <c r="B106" s="1119"/>
      <c r="C106" s="1119"/>
      <c r="D106" s="1119"/>
      <c r="E106" s="1119"/>
      <c r="F106" s="1119"/>
      <c r="G106" s="1119"/>
      <c r="H106" s="1119"/>
      <c r="I106" s="1119"/>
      <c r="J106" s="1119"/>
    </row>
    <row r="107" spans="1:11">
      <c r="A107" s="1119"/>
      <c r="B107" s="1119"/>
      <c r="C107" s="1119"/>
      <c r="D107" s="1119"/>
      <c r="E107" s="1119"/>
      <c r="F107" s="1119"/>
      <c r="G107" s="1119"/>
      <c r="H107" s="1119"/>
      <c r="I107" s="1119"/>
      <c r="J107" s="1119"/>
    </row>
    <row r="108" spans="1:11">
      <c r="A108" s="1119"/>
      <c r="B108" s="1119"/>
      <c r="C108" s="1119"/>
      <c r="D108" s="1119"/>
      <c r="E108" s="1119"/>
      <c r="F108" s="1119"/>
      <c r="G108" s="1119"/>
      <c r="H108" s="1119"/>
      <c r="I108" s="1119"/>
      <c r="J108" s="1119"/>
    </row>
    <row r="109" spans="1:11">
      <c r="A109" s="1119"/>
      <c r="B109" s="1119"/>
      <c r="C109" s="1119"/>
      <c r="D109" s="1119"/>
      <c r="E109" s="1119"/>
      <c r="F109" s="1119"/>
      <c r="G109" s="1119"/>
      <c r="H109" s="1119"/>
      <c r="I109" s="1119"/>
      <c r="J109" s="1119"/>
    </row>
    <row r="110" spans="1:11" ht="82.5" customHeight="1">
      <c r="A110" s="1120"/>
      <c r="B110" s="1120"/>
      <c r="C110" s="1120"/>
      <c r="D110" s="1120"/>
      <c r="E110" s="1120"/>
      <c r="F110" s="1120"/>
      <c r="G110" s="1120"/>
      <c r="H110" s="1120"/>
      <c r="I110" s="1120"/>
      <c r="J110" s="1120"/>
    </row>
    <row r="111" spans="1:11" ht="6.75" customHeight="1">
      <c r="A111" s="1121" t="s">
        <v>815</v>
      </c>
      <c r="B111" s="1122"/>
      <c r="C111" s="1122"/>
      <c r="D111" s="1122"/>
      <c r="E111" s="1122"/>
      <c r="F111" s="1122"/>
      <c r="G111" s="1122"/>
      <c r="H111" s="1122"/>
      <c r="I111" s="1122"/>
      <c r="J111" s="1122"/>
    </row>
    <row r="112" spans="1:11" ht="0.75" customHeight="1">
      <c r="A112" s="1123"/>
      <c r="B112" s="1123"/>
      <c r="C112" s="1123"/>
      <c r="D112" s="1123"/>
      <c r="E112" s="1123"/>
      <c r="F112" s="1123"/>
      <c r="G112" s="1123"/>
      <c r="H112" s="1123"/>
      <c r="I112" s="1123"/>
      <c r="J112" s="1123"/>
    </row>
    <row r="113" spans="1:12">
      <c r="A113" s="1123"/>
      <c r="B113" s="1123"/>
      <c r="C113" s="1123"/>
      <c r="D113" s="1123"/>
      <c r="E113" s="1123"/>
      <c r="F113" s="1123"/>
      <c r="G113" s="1123"/>
      <c r="H113" s="1123"/>
      <c r="I113" s="1123"/>
      <c r="J113" s="1123"/>
    </row>
    <row r="114" spans="1:12">
      <c r="A114" s="1123"/>
      <c r="B114" s="1123"/>
      <c r="C114" s="1123"/>
      <c r="D114" s="1123"/>
      <c r="E114" s="1123"/>
      <c r="F114" s="1123"/>
      <c r="G114" s="1123"/>
      <c r="H114" s="1123"/>
      <c r="I114" s="1123"/>
      <c r="J114" s="1123"/>
      <c r="K114" s="56" t="s">
        <v>780</v>
      </c>
    </row>
    <row r="115" spans="1:12">
      <c r="A115" s="1123"/>
      <c r="B115" s="1123"/>
      <c r="C115" s="1123"/>
      <c r="D115" s="1123"/>
      <c r="E115" s="1123"/>
      <c r="F115" s="1123"/>
      <c r="G115" s="1123"/>
      <c r="H115" s="1123"/>
      <c r="I115" s="1123"/>
      <c r="J115" s="1123"/>
      <c r="K115" s="539" t="s">
        <v>205</v>
      </c>
      <c r="L115" s="539" t="s">
        <v>784</v>
      </c>
    </row>
    <row r="116" spans="1:12" ht="12" customHeight="1">
      <c r="A116" s="1123"/>
      <c r="B116" s="1123"/>
      <c r="C116" s="1123"/>
      <c r="D116" s="1123"/>
      <c r="E116" s="1123"/>
      <c r="F116" s="1123"/>
      <c r="G116" s="1123"/>
      <c r="H116" s="1123"/>
      <c r="I116" s="1123"/>
      <c r="J116" s="1123"/>
      <c r="K116" s="81">
        <v>1</v>
      </c>
      <c r="L116" s="81">
        <v>15.75</v>
      </c>
    </row>
    <row r="117" spans="1:12">
      <c r="K117" s="81">
        <v>2</v>
      </c>
      <c r="L117" s="81">
        <v>15.75</v>
      </c>
    </row>
    <row r="118" spans="1:12">
      <c r="A118" s="56" t="s">
        <v>780</v>
      </c>
      <c r="E118" s="58" t="s">
        <v>114</v>
      </c>
      <c r="F118" s="58">
        <v>0.6</v>
      </c>
      <c r="K118" s="81">
        <v>3</v>
      </c>
      <c r="L118" s="81">
        <v>15.75</v>
      </c>
    </row>
    <row r="119" spans="1:12">
      <c r="E119" s="527" t="s">
        <v>781</v>
      </c>
      <c r="F119" s="49">
        <v>0.09</v>
      </c>
      <c r="G119" s="49" t="s">
        <v>116</v>
      </c>
      <c r="K119" s="81">
        <v>4</v>
      </c>
      <c r="L119" s="81">
        <v>15.75</v>
      </c>
    </row>
    <row r="120" spans="1:12">
      <c r="K120" s="81">
        <v>5</v>
      </c>
      <c r="L120" s="81">
        <v>15.75</v>
      </c>
    </row>
    <row r="121" spans="1:12">
      <c r="A121" s="49" t="s">
        <v>108</v>
      </c>
      <c r="E121" s="49" t="s">
        <v>112</v>
      </c>
      <c r="K121" s="81">
        <v>6</v>
      </c>
      <c r="L121" s="81">
        <v>15.75</v>
      </c>
    </row>
    <row r="122" spans="1:12">
      <c r="A122" s="49" t="s">
        <v>16</v>
      </c>
      <c r="B122" s="49">
        <v>800</v>
      </c>
      <c r="C122" s="49" t="s">
        <v>115</v>
      </c>
      <c r="E122" s="49" t="s">
        <v>16</v>
      </c>
      <c r="F122" s="49">
        <f>B122*1.1</f>
        <v>880.00000000000011</v>
      </c>
      <c r="G122" s="49" t="s">
        <v>115</v>
      </c>
      <c r="K122" s="81">
        <v>7</v>
      </c>
      <c r="L122" s="81">
        <v>15.75</v>
      </c>
    </row>
    <row r="123" spans="1:12">
      <c r="A123" s="49" t="s">
        <v>15</v>
      </c>
      <c r="B123" s="49">
        <v>600</v>
      </c>
      <c r="C123" s="49" t="s">
        <v>109</v>
      </c>
      <c r="E123" s="49" t="s">
        <v>15</v>
      </c>
      <c r="F123" s="49">
        <v>425</v>
      </c>
      <c r="G123" s="49" t="s">
        <v>109</v>
      </c>
      <c r="K123" s="81">
        <v>8</v>
      </c>
      <c r="L123" s="81">
        <v>15.75</v>
      </c>
    </row>
    <row r="124" spans="1:12">
      <c r="A124" s="49" t="s">
        <v>110</v>
      </c>
      <c r="B124" s="49">
        <v>25</v>
      </c>
      <c r="C124" s="49" t="s">
        <v>111</v>
      </c>
      <c r="E124" s="49" t="s">
        <v>110</v>
      </c>
      <c r="F124" s="49">
        <v>25</v>
      </c>
      <c r="G124" s="49" t="s">
        <v>111</v>
      </c>
      <c r="K124" s="81">
        <v>9</v>
      </c>
      <c r="L124" s="81">
        <v>15.75</v>
      </c>
    </row>
    <row r="125" spans="1:12">
      <c r="E125" s="49" t="s">
        <v>117</v>
      </c>
      <c r="F125" s="49">
        <f>(B123-F123)*F119</f>
        <v>15.75</v>
      </c>
      <c r="G125" s="49" t="s">
        <v>115</v>
      </c>
      <c r="K125" s="81">
        <v>10</v>
      </c>
      <c r="L125" s="81">
        <v>15.75</v>
      </c>
    </row>
    <row r="126" spans="1:12">
      <c r="K126" s="81">
        <v>11</v>
      </c>
      <c r="L126" s="81">
        <v>15.75</v>
      </c>
    </row>
    <row r="127" spans="1:12">
      <c r="B127" s="49" t="s">
        <v>120</v>
      </c>
      <c r="H127" s="49" t="s">
        <v>123</v>
      </c>
      <c r="K127" s="81">
        <v>12</v>
      </c>
      <c r="L127" s="81">
        <v>15.75</v>
      </c>
    </row>
    <row r="128" spans="1:12">
      <c r="C128" s="49">
        <f>F125</f>
        <v>15.75</v>
      </c>
      <c r="H128" s="49" t="s">
        <v>118</v>
      </c>
      <c r="K128" s="81">
        <v>13</v>
      </c>
      <c r="L128" s="81">
        <v>15.75</v>
      </c>
    </row>
    <row r="129" spans="1:12">
      <c r="K129" s="81">
        <v>14</v>
      </c>
      <c r="L129" s="81">
        <v>15.75</v>
      </c>
    </row>
    <row r="130" spans="1:12">
      <c r="K130" s="81">
        <v>15</v>
      </c>
      <c r="L130" s="81">
        <v>15.75</v>
      </c>
    </row>
    <row r="131" spans="1:12">
      <c r="K131" s="81">
        <v>16</v>
      </c>
      <c r="L131" s="81">
        <v>15.75</v>
      </c>
    </row>
    <row r="132" spans="1:12" ht="15.75" thickBot="1">
      <c r="K132" s="81">
        <v>17</v>
      </c>
      <c r="L132" s="81">
        <v>15.75</v>
      </c>
    </row>
    <row r="133" spans="1:12" ht="15.75" thickBot="1">
      <c r="D133" s="82" t="s">
        <v>119</v>
      </c>
      <c r="E133" s="83">
        <f>PV(F118,F124,-F125,,0)</f>
        <v>26.249792924012379</v>
      </c>
      <c r="F133" s="84"/>
      <c r="G133" s="82" t="s">
        <v>229</v>
      </c>
      <c r="H133" s="1">
        <f>NPV(F118,L116:L140)-B135</f>
        <v>-53.750207075987618</v>
      </c>
      <c r="K133" s="81">
        <v>18</v>
      </c>
      <c r="L133" s="81">
        <v>15.75</v>
      </c>
    </row>
    <row r="134" spans="1:12" ht="15.75" thickBot="1">
      <c r="K134" s="81">
        <v>19</v>
      </c>
      <c r="L134" s="81">
        <v>15.75</v>
      </c>
    </row>
    <row r="135" spans="1:12" ht="15" customHeight="1">
      <c r="B135" s="85">
        <v>80</v>
      </c>
      <c r="D135" s="1106" t="s">
        <v>782</v>
      </c>
      <c r="E135" s="1107"/>
      <c r="F135" s="1107"/>
      <c r="G135" s="1107"/>
      <c r="H135" s="1108"/>
      <c r="K135" s="81">
        <v>20</v>
      </c>
      <c r="L135" s="81">
        <v>15.75</v>
      </c>
    </row>
    <row r="136" spans="1:12">
      <c r="A136" s="527" t="s">
        <v>130</v>
      </c>
      <c r="D136" s="1109"/>
      <c r="E136" s="1084"/>
      <c r="F136" s="1084"/>
      <c r="G136" s="1084"/>
      <c r="H136" s="1110"/>
      <c r="K136" s="81">
        <v>21</v>
      </c>
      <c r="L136" s="81">
        <v>15.75</v>
      </c>
    </row>
    <row r="137" spans="1:12" ht="17.100000000000001" customHeight="1">
      <c r="D137" s="1109"/>
      <c r="E137" s="1084"/>
      <c r="F137" s="1084"/>
      <c r="G137" s="1084"/>
      <c r="H137" s="1110"/>
      <c r="K137" s="81">
        <v>22</v>
      </c>
      <c r="L137" s="81">
        <v>15.75</v>
      </c>
    </row>
    <row r="138" spans="1:12">
      <c r="D138" s="1109"/>
      <c r="E138" s="1084"/>
      <c r="F138" s="1084"/>
      <c r="G138" s="1084"/>
      <c r="H138" s="1110"/>
      <c r="K138" s="81">
        <v>23</v>
      </c>
      <c r="L138" s="81">
        <v>15.75</v>
      </c>
    </row>
    <row r="139" spans="1:12" ht="15.75" thickBot="1">
      <c r="D139" s="1111"/>
      <c r="E139" s="1112"/>
      <c r="F139" s="1112"/>
      <c r="G139" s="1112"/>
      <c r="H139" s="1113"/>
      <c r="K139" s="81">
        <v>24</v>
      </c>
      <c r="L139" s="81">
        <v>15.75</v>
      </c>
    </row>
    <row r="140" spans="1:12">
      <c r="K140" s="81">
        <v>25</v>
      </c>
      <c r="L140" s="81">
        <v>15.75</v>
      </c>
    </row>
    <row r="142" spans="1:12">
      <c r="K142" s="56" t="s">
        <v>783</v>
      </c>
    </row>
    <row r="143" spans="1:12">
      <c r="A143" s="56" t="s">
        <v>783</v>
      </c>
      <c r="E143" s="58" t="s">
        <v>114</v>
      </c>
      <c r="F143" s="58">
        <v>0.12</v>
      </c>
      <c r="K143" s="81">
        <v>1</v>
      </c>
      <c r="L143" s="81">
        <v>10.5</v>
      </c>
    </row>
    <row r="144" spans="1:12">
      <c r="E144" s="527" t="s">
        <v>132</v>
      </c>
      <c r="F144" s="49">
        <v>0.15</v>
      </c>
      <c r="G144" s="49" t="s">
        <v>116</v>
      </c>
      <c r="K144" s="81">
        <v>2</v>
      </c>
      <c r="L144" s="81">
        <v>10.5</v>
      </c>
    </row>
    <row r="145" spans="1:12">
      <c r="E145" s="49" t="s">
        <v>122</v>
      </c>
      <c r="F145" s="49">
        <v>0.09</v>
      </c>
      <c r="G145" s="49" t="s">
        <v>116</v>
      </c>
      <c r="K145" s="81">
        <v>3</v>
      </c>
      <c r="L145" s="81">
        <v>10.5</v>
      </c>
    </row>
    <row r="146" spans="1:12">
      <c r="A146" s="1114" t="s">
        <v>840</v>
      </c>
      <c r="B146" s="1115"/>
      <c r="C146" s="1115"/>
      <c r="D146" s="1115"/>
      <c r="E146" s="1115"/>
      <c r="F146" s="1115"/>
      <c r="G146" s="1115"/>
      <c r="H146" s="1115"/>
      <c r="I146" s="1115"/>
      <c r="J146" s="1115"/>
      <c r="K146" s="81">
        <v>4</v>
      </c>
      <c r="L146" s="81">
        <v>10.5</v>
      </c>
    </row>
    <row r="147" spans="1:12">
      <c r="A147" s="1115"/>
      <c r="B147" s="1115"/>
      <c r="C147" s="1115"/>
      <c r="D147" s="1115"/>
      <c r="E147" s="1115"/>
      <c r="F147" s="1115"/>
      <c r="G147" s="1115"/>
      <c r="H147" s="1115"/>
      <c r="I147" s="1115"/>
      <c r="J147" s="1115"/>
      <c r="K147" s="81">
        <v>5</v>
      </c>
      <c r="L147" s="81">
        <v>10.5</v>
      </c>
    </row>
    <row r="148" spans="1:12">
      <c r="K148" s="81">
        <v>6</v>
      </c>
      <c r="L148" s="81">
        <v>10.5</v>
      </c>
    </row>
    <row r="149" spans="1:12">
      <c r="K149" s="81">
        <v>7</v>
      </c>
      <c r="L149" s="81">
        <v>10.5</v>
      </c>
    </row>
    <row r="150" spans="1:12">
      <c r="A150" s="86"/>
      <c r="B150" s="86"/>
      <c r="C150" s="86"/>
      <c r="D150" s="86"/>
      <c r="E150" s="86"/>
      <c r="F150" s="86"/>
      <c r="G150" s="86"/>
      <c r="H150" s="86"/>
      <c r="I150" s="86"/>
      <c r="J150" s="86"/>
      <c r="K150" s="81">
        <v>8</v>
      </c>
      <c r="L150" s="81">
        <v>10.5</v>
      </c>
    </row>
    <row r="151" spans="1:12">
      <c r="B151" s="49" t="s">
        <v>124</v>
      </c>
      <c r="K151" s="81">
        <v>9</v>
      </c>
      <c r="L151" s="81">
        <v>10.5</v>
      </c>
    </row>
    <row r="152" spans="1:12">
      <c r="B152" s="49">
        <f>(B123-F123)*(F144-F145)</f>
        <v>10.5</v>
      </c>
      <c r="H152" s="49" t="s">
        <v>118</v>
      </c>
      <c r="K152" s="81">
        <v>10</v>
      </c>
      <c r="L152" s="81">
        <v>10.5</v>
      </c>
    </row>
    <row r="153" spans="1:12">
      <c r="K153" s="81">
        <v>11</v>
      </c>
      <c r="L153" s="81">
        <v>10.5</v>
      </c>
    </row>
    <row r="154" spans="1:12">
      <c r="K154" s="81">
        <v>12</v>
      </c>
      <c r="L154" s="81">
        <v>10.5</v>
      </c>
    </row>
    <row r="155" spans="1:12">
      <c r="K155" s="81">
        <v>13</v>
      </c>
      <c r="L155" s="81">
        <v>10.5</v>
      </c>
    </row>
    <row r="156" spans="1:12">
      <c r="K156" s="81">
        <v>14</v>
      </c>
      <c r="L156" s="81">
        <v>10.5</v>
      </c>
    </row>
    <row r="157" spans="1:12">
      <c r="K157" s="81">
        <v>15</v>
      </c>
      <c r="L157" s="81">
        <v>10.5</v>
      </c>
    </row>
    <row r="158" spans="1:12">
      <c r="K158" s="81">
        <v>16</v>
      </c>
      <c r="L158" s="81">
        <v>10.5</v>
      </c>
    </row>
    <row r="159" spans="1:12" ht="15.75" thickBot="1">
      <c r="B159" s="85">
        <v>880</v>
      </c>
      <c r="K159" s="81">
        <v>17</v>
      </c>
      <c r="L159" s="81">
        <v>10.5</v>
      </c>
    </row>
    <row r="160" spans="1:12" ht="15.75" thickBot="1">
      <c r="A160" s="527" t="s">
        <v>133</v>
      </c>
      <c r="D160" s="82" t="s">
        <v>119</v>
      </c>
      <c r="E160" s="83">
        <f>PV(F143,F124,-B152,,0)</f>
        <v>82.35296067667781</v>
      </c>
      <c r="G160" s="82" t="s">
        <v>229</v>
      </c>
      <c r="H160" s="1">
        <f>NPV(F143,L143:L167)-B159</f>
        <v>-797.33821696392295</v>
      </c>
      <c r="K160" s="81">
        <v>18</v>
      </c>
      <c r="L160" s="81">
        <v>10.5</v>
      </c>
    </row>
    <row r="161" spans="1:12" ht="17.25" customHeight="1" thickBot="1">
      <c r="K161" s="81">
        <v>19</v>
      </c>
      <c r="L161" s="81">
        <v>10.5</v>
      </c>
    </row>
    <row r="162" spans="1:12" ht="17.25" customHeight="1">
      <c r="D162" s="1106" t="s">
        <v>841</v>
      </c>
      <c r="E162" s="1107"/>
      <c r="F162" s="1107"/>
      <c r="G162" s="1107"/>
      <c r="H162" s="1107"/>
      <c r="I162" s="1108"/>
      <c r="K162" s="81">
        <v>20</v>
      </c>
      <c r="L162" s="81">
        <v>10.5</v>
      </c>
    </row>
    <row r="163" spans="1:12" ht="18" customHeight="1">
      <c r="D163" s="1109"/>
      <c r="E163" s="1084"/>
      <c r="F163" s="1084"/>
      <c r="G163" s="1084"/>
      <c r="H163" s="1084"/>
      <c r="I163" s="1110"/>
      <c r="K163" s="81">
        <v>21</v>
      </c>
      <c r="L163" s="81">
        <v>10.5</v>
      </c>
    </row>
    <row r="164" spans="1:12" ht="18" customHeight="1">
      <c r="D164" s="1109"/>
      <c r="E164" s="1084"/>
      <c r="F164" s="1084"/>
      <c r="G164" s="1084"/>
      <c r="H164" s="1084"/>
      <c r="I164" s="1110"/>
      <c r="K164" s="81">
        <v>22</v>
      </c>
      <c r="L164" s="81">
        <v>10.5</v>
      </c>
    </row>
    <row r="165" spans="1:12" ht="18.75" customHeight="1">
      <c r="D165" s="1109"/>
      <c r="E165" s="1084"/>
      <c r="F165" s="1084"/>
      <c r="G165" s="1084"/>
      <c r="H165" s="1084"/>
      <c r="I165" s="1110"/>
      <c r="K165" s="81">
        <v>23</v>
      </c>
      <c r="L165" s="81">
        <v>10.5</v>
      </c>
    </row>
    <row r="166" spans="1:12" ht="18" customHeight="1" thickBot="1">
      <c r="D166" s="1111"/>
      <c r="E166" s="1112"/>
      <c r="F166" s="1112"/>
      <c r="G166" s="1112"/>
      <c r="H166" s="1112"/>
      <c r="I166" s="1113"/>
      <c r="K166" s="81">
        <v>24</v>
      </c>
      <c r="L166" s="81">
        <v>10.5</v>
      </c>
    </row>
    <row r="167" spans="1:12">
      <c r="A167" s="87"/>
      <c r="B167" s="87"/>
      <c r="C167" s="87"/>
      <c r="D167" s="87"/>
      <c r="E167" s="87"/>
      <c r="F167" s="87"/>
      <c r="G167" s="87"/>
      <c r="H167" s="87"/>
      <c r="I167" s="87"/>
      <c r="J167" s="87"/>
      <c r="K167" s="81">
        <v>25</v>
      </c>
      <c r="L167" s="81">
        <v>15.75</v>
      </c>
    </row>
    <row r="168" spans="1:12" ht="15" customHeight="1">
      <c r="A168" s="1099" t="s">
        <v>842</v>
      </c>
      <c r="B168" s="1100"/>
      <c r="C168" s="1100"/>
      <c r="D168" s="1100"/>
      <c r="E168" s="1100"/>
      <c r="F168" s="1100"/>
      <c r="G168" s="1100"/>
      <c r="H168" s="1100"/>
      <c r="I168" s="1100"/>
      <c r="J168" s="1100"/>
    </row>
    <row r="169" spans="1:12">
      <c r="A169" s="1101"/>
      <c r="B169" s="1101"/>
      <c r="C169" s="1101"/>
      <c r="D169" s="1101"/>
      <c r="E169" s="1101"/>
      <c r="F169" s="1101"/>
      <c r="G169" s="1101"/>
      <c r="H169" s="1101"/>
      <c r="I169" s="1101"/>
      <c r="J169" s="1101"/>
    </row>
    <row r="170" spans="1:12">
      <c r="A170" s="1101"/>
      <c r="B170" s="1101"/>
      <c r="C170" s="1101"/>
      <c r="D170" s="1101"/>
      <c r="E170" s="1101"/>
      <c r="F170" s="1101"/>
      <c r="G170" s="1101"/>
      <c r="H170" s="1101"/>
      <c r="I170" s="1101"/>
      <c r="J170" s="1101"/>
    </row>
    <row r="171" spans="1:12">
      <c r="A171" s="1101"/>
      <c r="B171" s="1101"/>
      <c r="C171" s="1101"/>
      <c r="D171" s="1101"/>
      <c r="E171" s="1101"/>
      <c r="F171" s="1101"/>
      <c r="G171" s="1101"/>
      <c r="H171" s="1101"/>
      <c r="I171" s="1101"/>
      <c r="J171" s="1101"/>
    </row>
    <row r="172" spans="1:12">
      <c r="A172" s="1101"/>
      <c r="B172" s="1101"/>
      <c r="C172" s="1101"/>
      <c r="D172" s="1101"/>
      <c r="E172" s="1101"/>
      <c r="F172" s="1101"/>
      <c r="G172" s="1101"/>
      <c r="H172" s="1101"/>
      <c r="I172" s="1101"/>
      <c r="J172" s="1101"/>
    </row>
    <row r="173" spans="1:12">
      <c r="A173" s="1101"/>
      <c r="B173" s="1101"/>
      <c r="C173" s="1101"/>
      <c r="D173" s="1101"/>
      <c r="E173" s="1101"/>
      <c r="F173" s="1101"/>
      <c r="G173" s="1101"/>
      <c r="H173" s="1101"/>
      <c r="I173" s="1101"/>
      <c r="J173" s="1101"/>
    </row>
    <row r="174" spans="1:12">
      <c r="A174" s="1101"/>
      <c r="B174" s="1101"/>
      <c r="C174" s="1101"/>
      <c r="D174" s="1101"/>
      <c r="E174" s="1101"/>
      <c r="F174" s="1101"/>
      <c r="G174" s="1101"/>
      <c r="H174" s="1101"/>
      <c r="I174" s="1101"/>
      <c r="J174" s="1101"/>
    </row>
    <row r="175" spans="1:12">
      <c r="A175" s="1094" t="s">
        <v>816</v>
      </c>
      <c r="B175" s="1094"/>
      <c r="C175" s="1094"/>
      <c r="D175" s="88" t="s">
        <v>68</v>
      </c>
      <c r="E175" s="88" t="s">
        <v>803</v>
      </c>
      <c r="F175" s="1104" t="s">
        <v>816</v>
      </c>
      <c r="G175" s="1105"/>
      <c r="H175" s="88" t="s">
        <v>68</v>
      </c>
      <c r="I175" s="1130" t="s">
        <v>803</v>
      </c>
      <c r="J175" s="1130"/>
    </row>
    <row r="176" spans="1:12">
      <c r="A176" s="1142" t="s">
        <v>46</v>
      </c>
      <c r="B176" s="1142"/>
      <c r="C176" s="1142"/>
      <c r="D176" s="89">
        <v>20</v>
      </c>
      <c r="E176" s="89">
        <v>67</v>
      </c>
      <c r="F176" s="1142" t="s">
        <v>47</v>
      </c>
      <c r="G176" s="1142"/>
      <c r="H176" s="89">
        <v>16</v>
      </c>
      <c r="I176" s="1131">
        <v>90</v>
      </c>
      <c r="J176" s="1131"/>
    </row>
    <row r="177" spans="1:10">
      <c r="A177" s="90"/>
      <c r="B177" s="90"/>
      <c r="C177" s="90"/>
      <c r="D177" s="90"/>
      <c r="E177" s="90"/>
      <c r="F177" s="90"/>
      <c r="G177" s="90"/>
      <c r="H177" s="90"/>
      <c r="I177" s="91"/>
      <c r="J177" s="91"/>
    </row>
    <row r="178" spans="1:10">
      <c r="A178" s="1145" t="s">
        <v>125</v>
      </c>
      <c r="B178" s="1146"/>
      <c r="C178" s="1146"/>
      <c r="D178" s="1147"/>
      <c r="F178" s="1145" t="s">
        <v>128</v>
      </c>
      <c r="G178" s="1146"/>
      <c r="H178" s="1146"/>
      <c r="I178" s="1146"/>
      <c r="J178" s="92"/>
    </row>
    <row r="179" spans="1:10">
      <c r="A179" s="1032" t="s">
        <v>801</v>
      </c>
      <c r="B179" s="1033"/>
      <c r="C179" s="93">
        <f>40*1.05</f>
        <v>42</v>
      </c>
      <c r="D179" s="94" t="s">
        <v>507</v>
      </c>
      <c r="F179" s="1032" t="str">
        <f>A179</f>
        <v>2 lâmpadas + reator</v>
      </c>
      <c r="G179" s="1033"/>
      <c r="H179" s="93">
        <f>32*1.05</f>
        <v>33.6</v>
      </c>
      <c r="I179" s="95" t="s">
        <v>508</v>
      </c>
      <c r="J179" s="94"/>
    </row>
    <row r="180" spans="1:10">
      <c r="A180" s="1032" t="s">
        <v>16</v>
      </c>
      <c r="B180" s="1033"/>
      <c r="C180" s="96">
        <v>44.3</v>
      </c>
      <c r="D180" s="94" t="s">
        <v>115</v>
      </c>
      <c r="F180" s="1032" t="str">
        <f>A180</f>
        <v>Custo</v>
      </c>
      <c r="G180" s="1033"/>
      <c r="H180" s="96">
        <v>47.7</v>
      </c>
      <c r="I180" s="95" t="s">
        <v>115</v>
      </c>
      <c r="J180" s="94"/>
    </row>
    <row r="181" spans="1:10">
      <c r="A181" s="1032" t="s">
        <v>126</v>
      </c>
      <c r="B181" s="1033"/>
      <c r="C181" s="282">
        <v>1920</v>
      </c>
      <c r="D181" s="94" t="s">
        <v>75</v>
      </c>
      <c r="F181" s="1032" t="s">
        <v>126</v>
      </c>
      <c r="G181" s="1033"/>
      <c r="H181" s="282">
        <v>1920</v>
      </c>
      <c r="I181" s="95" t="s">
        <v>75</v>
      </c>
      <c r="J181" s="94"/>
    </row>
    <row r="182" spans="1:10" ht="34.5" customHeight="1">
      <c r="A182" s="1143" t="s">
        <v>127</v>
      </c>
      <c r="B182" s="1144"/>
      <c r="C182" s="97">
        <v>5</v>
      </c>
      <c r="D182" s="98" t="s">
        <v>111</v>
      </c>
      <c r="F182" s="1032" t="s">
        <v>127</v>
      </c>
      <c r="G182" s="1033"/>
      <c r="H182" s="93">
        <v>5</v>
      </c>
      <c r="I182" s="95" t="s">
        <v>111</v>
      </c>
      <c r="J182" s="94"/>
    </row>
    <row r="183" spans="1:10" ht="1.5" customHeight="1">
      <c r="F183" s="99"/>
      <c r="G183" s="87"/>
      <c r="H183" s="87"/>
      <c r="I183" s="87"/>
      <c r="J183" s="98"/>
    </row>
    <row r="184" spans="1:10">
      <c r="F184" s="95"/>
      <c r="G184" s="95"/>
      <c r="H184" s="95"/>
      <c r="I184" s="95"/>
      <c r="J184" s="95"/>
    </row>
    <row r="185" spans="1:10">
      <c r="A185" s="100" t="s">
        <v>804</v>
      </c>
      <c r="B185" s="101"/>
      <c r="C185" s="101"/>
      <c r="D185" s="102"/>
      <c r="E185" s="103" t="s">
        <v>57</v>
      </c>
      <c r="F185" s="102">
        <v>0.09</v>
      </c>
      <c r="G185" s="102" t="s">
        <v>116</v>
      </c>
      <c r="H185" s="103" t="s">
        <v>113</v>
      </c>
      <c r="I185" s="104">
        <v>0.6</v>
      </c>
      <c r="J185" s="92"/>
    </row>
    <row r="186" spans="1:10">
      <c r="A186" s="99" t="s">
        <v>800</v>
      </c>
      <c r="B186" s="87"/>
      <c r="C186" s="87"/>
      <c r="D186" s="87"/>
      <c r="E186" s="87"/>
      <c r="F186" s="87"/>
      <c r="G186" s="87"/>
      <c r="H186" s="87"/>
      <c r="I186" s="87"/>
      <c r="J186" s="98"/>
    </row>
    <row r="188" spans="1:10">
      <c r="C188" s="1133" t="s">
        <v>129</v>
      </c>
      <c r="D188" s="1133"/>
      <c r="E188" s="105">
        <f>((C179-H179)/1000)*C181*F185</f>
        <v>1.4515199999999997</v>
      </c>
    </row>
    <row r="189" spans="1:10">
      <c r="G189" s="49" t="s">
        <v>121</v>
      </c>
    </row>
    <row r="190" spans="1:10">
      <c r="G190" s="49" t="s">
        <v>131</v>
      </c>
    </row>
    <row r="192" spans="1:10" ht="15.75" thickBot="1">
      <c r="D192" s="106">
        <f>H180-C180</f>
        <v>3.4000000000000057</v>
      </c>
    </row>
    <row r="193" spans="1:10" ht="15.75" thickBot="1">
      <c r="D193" s="49" t="s">
        <v>130</v>
      </c>
      <c r="F193" s="82" t="s">
        <v>119</v>
      </c>
      <c r="G193" s="107">
        <f>PV(I185,H182,-E188,,0)</f>
        <v>2.1884871093749996</v>
      </c>
      <c r="I193" s="108" t="s">
        <v>229</v>
      </c>
      <c r="J193" s="1">
        <f>NPV(I185,E188,E188,E188,E188,E188)-D192</f>
        <v>-1.2115128906250066</v>
      </c>
    </row>
    <row r="194" spans="1:10" ht="15.75" thickBot="1"/>
    <row r="195" spans="1:10">
      <c r="A195" s="1134" t="s">
        <v>843</v>
      </c>
      <c r="B195" s="1135"/>
      <c r="C195" s="1135"/>
      <c r="D195" s="1135"/>
      <c r="E195" s="1135"/>
      <c r="F195" s="1135"/>
      <c r="G195" s="1135"/>
      <c r="H195" s="1135"/>
      <c r="I195" s="1135"/>
      <c r="J195" s="1136"/>
    </row>
    <row r="196" spans="1:10">
      <c r="A196" s="1137"/>
      <c r="B196" s="1119"/>
      <c r="C196" s="1119"/>
      <c r="D196" s="1119"/>
      <c r="E196" s="1119"/>
      <c r="F196" s="1119"/>
      <c r="G196" s="1119"/>
      <c r="H196" s="1119"/>
      <c r="I196" s="1119"/>
      <c r="J196" s="1138"/>
    </row>
    <row r="197" spans="1:10" ht="15.75" thickBot="1">
      <c r="A197" s="1139"/>
      <c r="B197" s="1140"/>
      <c r="C197" s="1140"/>
      <c r="D197" s="1140"/>
      <c r="E197" s="1140"/>
      <c r="F197" s="1140"/>
      <c r="G197" s="1140"/>
      <c r="H197" s="1140"/>
      <c r="I197" s="1140"/>
      <c r="J197" s="1141"/>
    </row>
    <row r="199" spans="1:10">
      <c r="A199" s="56" t="s">
        <v>805</v>
      </c>
      <c r="E199" s="49" t="s">
        <v>132</v>
      </c>
      <c r="F199" s="49">
        <v>0.15</v>
      </c>
      <c r="G199" s="49" t="s">
        <v>116</v>
      </c>
      <c r="H199" s="2" t="s">
        <v>113</v>
      </c>
      <c r="I199" s="109">
        <v>0.12</v>
      </c>
    </row>
    <row r="200" spans="1:10">
      <c r="E200" s="49" t="s">
        <v>57</v>
      </c>
      <c r="F200" s="49">
        <v>0.09</v>
      </c>
      <c r="G200" s="49" t="s">
        <v>116</v>
      </c>
    </row>
    <row r="202" spans="1:10">
      <c r="C202" s="49" t="s">
        <v>134</v>
      </c>
      <c r="E202" s="105">
        <f>((C179-H179)/1000)*C181*(F199-F200)</f>
        <v>0.96767999999999976</v>
      </c>
    </row>
    <row r="203" spans="1:10">
      <c r="G203" s="49" t="s">
        <v>121</v>
      </c>
    </row>
    <row r="204" spans="1:10">
      <c r="G204" s="49" t="s">
        <v>131</v>
      </c>
    </row>
    <row r="206" spans="1:10" ht="15.75" thickBot="1">
      <c r="D206" s="106">
        <v>47.7</v>
      </c>
    </row>
    <row r="207" spans="1:10" ht="15.75" thickBot="1">
      <c r="D207" s="49" t="s">
        <v>133</v>
      </c>
      <c r="F207" s="2" t="s">
        <v>119</v>
      </c>
      <c r="G207" s="110">
        <f>PV(I199,H182,-E202,,0)</f>
        <v>3.4882698354852151</v>
      </c>
      <c r="I207" s="108" t="s">
        <v>229</v>
      </c>
      <c r="J207" s="1">
        <f>NPV(I199,E202,E202,E202,E202,E202)-D206</f>
        <v>-44.21173016451479</v>
      </c>
    </row>
    <row r="208" spans="1:10" ht="15.75" thickBot="1"/>
    <row r="209" spans="1:10" ht="15" customHeight="1">
      <c r="A209" s="1134" t="s">
        <v>844</v>
      </c>
      <c r="B209" s="1135"/>
      <c r="C209" s="1135"/>
      <c r="D209" s="1135"/>
      <c r="E209" s="1135"/>
      <c r="F209" s="1135"/>
      <c r="G209" s="1135"/>
      <c r="H209" s="1135"/>
      <c r="I209" s="1135"/>
      <c r="J209" s="1136"/>
    </row>
    <row r="210" spans="1:10">
      <c r="A210" s="1137"/>
      <c r="B210" s="1119"/>
      <c r="C210" s="1119"/>
      <c r="D210" s="1119"/>
      <c r="E210" s="1119"/>
      <c r="F210" s="1119"/>
      <c r="G210" s="1119"/>
      <c r="H210" s="1119"/>
      <c r="I210" s="1119"/>
      <c r="J210" s="1138"/>
    </row>
    <row r="211" spans="1:10">
      <c r="A211" s="1137"/>
      <c r="B211" s="1119"/>
      <c r="C211" s="1119"/>
      <c r="D211" s="1119"/>
      <c r="E211" s="1119"/>
      <c r="F211" s="1119"/>
      <c r="G211" s="1119"/>
      <c r="H211" s="1119"/>
      <c r="I211" s="1119"/>
      <c r="J211" s="1138"/>
    </row>
    <row r="212" spans="1:10" ht="15.75" thickBot="1">
      <c r="A212" s="1139"/>
      <c r="B212" s="1140"/>
      <c r="C212" s="1140"/>
      <c r="D212" s="1140"/>
      <c r="E212" s="1140"/>
      <c r="F212" s="1140"/>
      <c r="G212" s="1140"/>
      <c r="H212" s="1140"/>
      <c r="I212" s="1140"/>
      <c r="J212" s="1141"/>
    </row>
    <row r="214" spans="1:10">
      <c r="A214" s="49" t="s">
        <v>845</v>
      </c>
    </row>
    <row r="216" spans="1:10">
      <c r="A216" s="1131" t="s">
        <v>135</v>
      </c>
      <c r="B216" s="1131"/>
      <c r="C216" s="1131"/>
      <c r="D216" s="111" t="s">
        <v>137</v>
      </c>
      <c r="E216" s="111" t="s">
        <v>136</v>
      </c>
      <c r="F216" s="111" t="s">
        <v>138</v>
      </c>
      <c r="G216" s="111" t="s">
        <v>802</v>
      </c>
    </row>
    <row r="217" spans="1:10">
      <c r="A217" s="112" t="s">
        <v>46</v>
      </c>
      <c r="B217" s="112"/>
      <c r="C217" s="113"/>
      <c r="D217" s="113">
        <v>20</v>
      </c>
      <c r="E217" s="113">
        <v>2</v>
      </c>
      <c r="F217" s="113">
        <f>E217*D217</f>
        <v>40</v>
      </c>
      <c r="G217" s="113">
        <f>D217*E176*E217</f>
        <v>2680</v>
      </c>
    </row>
    <row r="218" spans="1:10">
      <c r="A218" s="114" t="s">
        <v>47</v>
      </c>
      <c r="B218" s="99"/>
      <c r="C218" s="115"/>
      <c r="D218" s="116">
        <v>16</v>
      </c>
      <c r="E218" s="116">
        <v>2</v>
      </c>
      <c r="F218" s="116">
        <f>E218*D218</f>
        <v>32</v>
      </c>
      <c r="G218" s="116">
        <f>D218*I176*E218</f>
        <v>2880</v>
      </c>
    </row>
    <row r="219" spans="1:10" ht="15.75" thickBot="1"/>
    <row r="220" spans="1:10">
      <c r="A220" s="1132" t="s">
        <v>846</v>
      </c>
      <c r="B220" s="1107"/>
      <c r="C220" s="1107"/>
      <c r="D220" s="1107"/>
      <c r="E220" s="1107"/>
      <c r="F220" s="1107"/>
      <c r="G220" s="1107"/>
      <c r="H220" s="1107"/>
      <c r="I220" s="1108"/>
    </row>
    <row r="221" spans="1:10" ht="19.5" customHeight="1" thickBot="1">
      <c r="A221" s="1111"/>
      <c r="B221" s="1112"/>
      <c r="C221" s="1112"/>
      <c r="D221" s="1112"/>
      <c r="E221" s="1112"/>
      <c r="F221" s="1112"/>
      <c r="G221" s="1112"/>
      <c r="H221" s="1112"/>
      <c r="I221" s="1113"/>
    </row>
    <row r="222" spans="1:10" ht="15" customHeight="1">
      <c r="A222" s="1060" t="s">
        <v>847</v>
      </c>
      <c r="B222" s="1101"/>
      <c r="C222" s="1101"/>
      <c r="D222" s="1101"/>
      <c r="E222" s="1101"/>
      <c r="F222" s="1101"/>
      <c r="G222" s="1101"/>
      <c r="H222" s="1101"/>
      <c r="I222" s="1101"/>
    </row>
    <row r="223" spans="1:10">
      <c r="A223" s="1101"/>
      <c r="B223" s="1101"/>
      <c r="C223" s="1101"/>
      <c r="D223" s="1101"/>
      <c r="E223" s="1101"/>
      <c r="F223" s="1101"/>
      <c r="G223" s="1101"/>
      <c r="H223" s="1101"/>
      <c r="I223" s="1101"/>
    </row>
    <row r="224" spans="1:10">
      <c r="A224" s="1101"/>
      <c r="B224" s="1101"/>
      <c r="C224" s="1101"/>
      <c r="D224" s="1101"/>
      <c r="E224" s="1101"/>
      <c r="F224" s="1101"/>
      <c r="G224" s="1101"/>
      <c r="H224" s="1101"/>
      <c r="I224" s="1101"/>
    </row>
    <row r="225" spans="1:9">
      <c r="A225" s="1101"/>
      <c r="B225" s="1101"/>
      <c r="C225" s="1101"/>
      <c r="D225" s="1101"/>
      <c r="E225" s="1101"/>
      <c r="F225" s="1101"/>
      <c r="G225" s="1101"/>
      <c r="H225" s="1101"/>
      <c r="I225" s="1101"/>
    </row>
    <row r="226" spans="1:9">
      <c r="A226" s="1101"/>
      <c r="B226" s="1101"/>
      <c r="C226" s="1101"/>
      <c r="D226" s="1101"/>
      <c r="E226" s="1101"/>
      <c r="F226" s="1101"/>
      <c r="G226" s="1101"/>
      <c r="H226" s="1101"/>
      <c r="I226" s="1101"/>
    </row>
    <row r="227" spans="1:9">
      <c r="A227" s="64"/>
      <c r="B227" s="64"/>
      <c r="C227" s="64"/>
      <c r="D227" s="64"/>
      <c r="E227" s="64"/>
      <c r="F227" s="64"/>
      <c r="G227" s="64"/>
      <c r="H227" s="64"/>
      <c r="I227" s="64"/>
    </row>
    <row r="228" spans="1:9">
      <c r="A228" s="64"/>
      <c r="B228" s="529" t="s">
        <v>806</v>
      </c>
      <c r="C228" s="64"/>
      <c r="D228" s="64"/>
      <c r="E228" s="64"/>
      <c r="F228" s="64"/>
      <c r="G228" s="64"/>
      <c r="H228" s="64"/>
      <c r="I228" s="64"/>
    </row>
    <row r="229" spans="1:9">
      <c r="A229" s="64"/>
      <c r="B229" s="64"/>
      <c r="C229" s="64"/>
      <c r="D229" s="64"/>
      <c r="E229" s="64"/>
      <c r="F229" s="64"/>
      <c r="G229" s="64"/>
      <c r="H229" s="64"/>
      <c r="I229" s="64"/>
    </row>
    <row r="230" spans="1:9">
      <c r="A230" s="64"/>
      <c r="B230" s="1155" t="s">
        <v>139</v>
      </c>
      <c r="C230" s="1155"/>
      <c r="D230" s="1154" t="s">
        <v>140</v>
      </c>
      <c r="E230" s="1155"/>
      <c r="F230" s="1155" t="s">
        <v>141</v>
      </c>
      <c r="G230" s="1155"/>
      <c r="H230" s="1155"/>
      <c r="I230" s="64"/>
    </row>
    <row r="231" spans="1:9" ht="15.75" thickBot="1">
      <c r="A231" s="64"/>
      <c r="B231" s="1150"/>
      <c r="C231" s="1150"/>
      <c r="D231" s="1156"/>
      <c r="E231" s="1150"/>
      <c r="F231" s="1150" t="s">
        <v>142</v>
      </c>
      <c r="G231" s="1150"/>
      <c r="H231" s="1150"/>
      <c r="I231" s="64"/>
    </row>
    <row r="232" spans="1:9" ht="23.25" customHeight="1">
      <c r="A232" s="64"/>
      <c r="B232" s="1152" t="s">
        <v>143</v>
      </c>
      <c r="C232" s="1152"/>
      <c r="D232" s="1151" t="s">
        <v>144</v>
      </c>
      <c r="E232" s="1152"/>
      <c r="F232" s="1149">
        <v>0.03</v>
      </c>
      <c r="G232" s="1149"/>
      <c r="H232" s="1149"/>
      <c r="I232" s="64"/>
    </row>
    <row r="233" spans="1:9" ht="35.25" customHeight="1">
      <c r="A233" s="64"/>
      <c r="B233" s="1152" t="s">
        <v>145</v>
      </c>
      <c r="C233" s="1152"/>
      <c r="D233" s="1151" t="s">
        <v>146</v>
      </c>
      <c r="E233" s="1152"/>
      <c r="F233" s="1149">
        <v>5.5E-2</v>
      </c>
      <c r="G233" s="1149"/>
      <c r="H233" s="1149"/>
      <c r="I233" s="64"/>
    </row>
    <row r="234" spans="1:9" ht="15.75" customHeight="1">
      <c r="A234" s="64"/>
      <c r="B234" s="1157" t="s">
        <v>147</v>
      </c>
      <c r="C234" s="1152"/>
      <c r="D234" s="1153" t="s">
        <v>148</v>
      </c>
      <c r="E234" s="1152"/>
      <c r="F234" s="1149" t="s">
        <v>149</v>
      </c>
      <c r="G234" s="1149"/>
      <c r="H234" s="1149"/>
      <c r="I234" s="64"/>
    </row>
    <row r="235" spans="1:9" ht="15.75" customHeight="1">
      <c r="A235" s="64"/>
      <c r="B235" s="1152"/>
      <c r="C235" s="1152"/>
      <c r="D235" s="1151" t="s">
        <v>150</v>
      </c>
      <c r="E235" s="1152"/>
      <c r="F235" s="1149" t="s">
        <v>151</v>
      </c>
      <c r="G235" s="1149"/>
      <c r="H235" s="1149"/>
      <c r="I235" s="64"/>
    </row>
    <row r="236" spans="1:9" ht="15" customHeight="1">
      <c r="A236" s="64"/>
      <c r="B236" s="1152"/>
      <c r="C236" s="1152"/>
      <c r="D236" s="1151" t="s">
        <v>152</v>
      </c>
      <c r="E236" s="1152"/>
      <c r="F236" s="1149" t="s">
        <v>153</v>
      </c>
      <c r="G236" s="1149"/>
      <c r="H236" s="1149"/>
      <c r="I236" s="64"/>
    </row>
    <row r="237" spans="1:9">
      <c r="A237" s="64"/>
      <c r="B237" s="64"/>
      <c r="C237" s="64"/>
      <c r="D237" s="64"/>
      <c r="E237" s="64"/>
      <c r="F237" s="64"/>
      <c r="G237" s="64"/>
      <c r="H237" s="64"/>
      <c r="I237" s="64"/>
    </row>
    <row r="239" spans="1:9">
      <c r="A239" s="543" t="s">
        <v>807</v>
      </c>
      <c r="B239" s="95"/>
      <c r="C239" s="95"/>
      <c r="D239" s="95"/>
      <c r="E239" s="95"/>
      <c r="F239" s="95"/>
      <c r="G239" s="95"/>
      <c r="H239" s="95"/>
      <c r="I239" s="95"/>
    </row>
    <row r="241" spans="1:24">
      <c r="A241" s="117" t="s">
        <v>808</v>
      </c>
      <c r="B241" s="64"/>
      <c r="C241" s="64"/>
      <c r="D241" s="64"/>
      <c r="E241" s="64"/>
      <c r="F241" s="64"/>
      <c r="G241" s="64"/>
      <c r="H241" s="64"/>
      <c r="I241" s="64"/>
    </row>
    <row r="242" spans="1:24" ht="5.25" customHeight="1">
      <c r="A242" s="1115" t="s">
        <v>848</v>
      </c>
      <c r="B242" s="1115"/>
      <c r="C242" s="1115"/>
      <c r="D242" s="1115"/>
      <c r="E242" s="1115"/>
      <c r="F242" s="1115"/>
      <c r="G242" s="1115"/>
      <c r="H242" s="1115"/>
      <c r="I242" s="1115"/>
    </row>
    <row r="243" spans="1:24" ht="5.25" customHeight="1">
      <c r="A243" s="1115"/>
      <c r="B243" s="1115"/>
      <c r="C243" s="1115"/>
      <c r="D243" s="1115"/>
      <c r="E243" s="1115"/>
      <c r="F243" s="1115"/>
      <c r="G243" s="1115"/>
      <c r="H243" s="1115"/>
      <c r="I243" s="1115"/>
    </row>
    <row r="244" spans="1:24">
      <c r="A244" s="1115"/>
      <c r="B244" s="1115"/>
      <c r="C244" s="1115"/>
      <c r="D244" s="1115"/>
      <c r="E244" s="1115"/>
      <c r="F244" s="1115"/>
      <c r="G244" s="1115"/>
      <c r="H244" s="1115"/>
      <c r="I244" s="1115"/>
    </row>
    <row r="245" spans="1:24">
      <c r="A245" s="1115"/>
      <c r="B245" s="1115"/>
      <c r="C245" s="1115"/>
      <c r="D245" s="1115"/>
      <c r="E245" s="1115"/>
      <c r="F245" s="1115"/>
      <c r="G245" s="1115"/>
      <c r="H245" s="1115"/>
      <c r="I245" s="1115"/>
    </row>
    <row r="246" spans="1:24">
      <c r="A246" s="1115"/>
      <c r="B246" s="1115"/>
      <c r="C246" s="1115"/>
      <c r="D246" s="1115"/>
      <c r="E246" s="1115"/>
      <c r="F246" s="1115"/>
      <c r="G246" s="1115"/>
      <c r="H246" s="1115"/>
      <c r="I246" s="1115"/>
    </row>
    <row r="247" spans="1:24">
      <c r="A247" s="1115"/>
      <c r="B247" s="1115"/>
      <c r="C247" s="1115"/>
      <c r="D247" s="1115"/>
      <c r="E247" s="1115"/>
      <c r="F247" s="1115"/>
      <c r="G247" s="1115"/>
      <c r="H247" s="1115"/>
      <c r="I247" s="1115"/>
    </row>
    <row r="249" spans="1:24" ht="15" customHeight="1">
      <c r="A249" s="117" t="s">
        <v>809</v>
      </c>
      <c r="B249" s="117"/>
      <c r="C249" s="117"/>
      <c r="D249" s="117"/>
      <c r="E249" s="117"/>
      <c r="F249" s="117"/>
      <c r="G249" s="117"/>
      <c r="H249" s="117"/>
      <c r="I249" s="117"/>
    </row>
    <row r="250" spans="1:24">
      <c r="A250" s="1115" t="s">
        <v>849</v>
      </c>
      <c r="B250" s="1115"/>
      <c r="C250" s="1115"/>
      <c r="D250" s="1115"/>
      <c r="E250" s="1115"/>
      <c r="F250" s="1115"/>
      <c r="G250" s="1115"/>
      <c r="H250" s="1115"/>
      <c r="I250" s="1115"/>
    </row>
    <row r="251" spans="1:24" ht="75.95" customHeight="1">
      <c r="A251" s="1115"/>
      <c r="B251" s="1115"/>
      <c r="C251" s="1115"/>
      <c r="D251" s="1115"/>
      <c r="E251" s="1115"/>
      <c r="F251" s="1115"/>
      <c r="G251" s="1115"/>
      <c r="H251" s="1115"/>
      <c r="I251" s="1115"/>
    </row>
    <row r="252" spans="1:24" ht="15" customHeight="1">
      <c r="A252" s="86"/>
      <c r="B252" s="86"/>
      <c r="C252" s="86"/>
      <c r="D252" s="86"/>
      <c r="E252" s="86"/>
      <c r="F252" s="86"/>
      <c r="G252" s="86"/>
      <c r="H252" s="86"/>
      <c r="I252" s="86"/>
    </row>
    <row r="253" spans="1:24" ht="15" customHeight="1">
      <c r="A253" s="1013" t="s">
        <v>810</v>
      </c>
      <c r="B253" s="1013"/>
      <c r="C253" s="1013"/>
      <c r="D253" s="1013"/>
      <c r="E253" s="1013"/>
      <c r="F253" s="1013"/>
      <c r="G253" s="1013"/>
      <c r="H253" s="1013"/>
      <c r="I253" s="1013"/>
      <c r="J253" s="1013"/>
      <c r="K253" s="1013"/>
      <c r="L253" s="1013"/>
      <c r="M253" s="1013"/>
      <c r="N253" s="1013"/>
      <c r="O253" s="1013"/>
      <c r="P253" s="1013"/>
      <c r="Q253" s="1013"/>
      <c r="R253" s="1013"/>
      <c r="S253" s="1013"/>
      <c r="T253" s="1013"/>
      <c r="U253" s="1013"/>
      <c r="V253" s="1013"/>
      <c r="W253" s="1013"/>
      <c r="X253" s="1013"/>
    </row>
    <row r="254" spans="1:24" ht="15" customHeight="1">
      <c r="A254" s="1013"/>
      <c r="B254" s="1013"/>
      <c r="C254" s="1013"/>
      <c r="D254" s="1013"/>
      <c r="E254" s="1013"/>
      <c r="F254" s="1013"/>
      <c r="G254" s="1013"/>
      <c r="H254" s="1013"/>
      <c r="I254" s="1013"/>
      <c r="J254" s="1013"/>
      <c r="K254" s="1013"/>
      <c r="L254" s="1013"/>
      <c r="M254" s="1013"/>
      <c r="N254" s="1013"/>
      <c r="O254" s="1013"/>
      <c r="P254" s="1013"/>
      <c r="Q254" s="1013"/>
      <c r="R254" s="1013"/>
      <c r="S254" s="1013"/>
      <c r="T254" s="1013"/>
      <c r="U254" s="1013"/>
      <c r="V254" s="1013"/>
      <c r="W254" s="1013"/>
      <c r="X254" s="1013"/>
    </row>
    <row r="255" spans="1:24" ht="15" customHeight="1">
      <c r="A255" s="540"/>
      <c r="B255" s="540"/>
      <c r="C255" s="540"/>
      <c r="D255" s="540"/>
      <c r="E255" s="540"/>
      <c r="F255" s="540"/>
      <c r="G255" s="540"/>
      <c r="H255" s="540"/>
      <c r="I255" s="540"/>
      <c r="J255" s="540"/>
      <c r="K255" s="540"/>
      <c r="L255" s="540"/>
      <c r="M255" s="540"/>
      <c r="N255" s="540"/>
      <c r="O255" s="540"/>
      <c r="P255" s="540"/>
      <c r="Q255" s="540"/>
      <c r="R255" s="540"/>
      <c r="S255" s="540"/>
      <c r="T255" s="540"/>
      <c r="U255" s="540"/>
      <c r="V255" s="540"/>
      <c r="W255" s="540"/>
      <c r="X255" s="540"/>
    </row>
    <row r="256" spans="1:24" ht="15" customHeight="1">
      <c r="A256" s="527"/>
    </row>
    <row r="257" spans="1:24" ht="15" customHeight="1">
      <c r="A257" s="117" t="s">
        <v>812</v>
      </c>
      <c r="B257" s="117"/>
      <c r="C257" s="117"/>
      <c r="D257" s="117"/>
      <c r="E257" s="117"/>
      <c r="F257" s="117"/>
      <c r="G257" s="117"/>
      <c r="H257" s="117"/>
      <c r="I257" s="117"/>
    </row>
    <row r="258" spans="1:24" ht="15" customHeight="1">
      <c r="A258" s="527"/>
    </row>
    <row r="259" spans="1:24" ht="15" customHeight="1">
      <c r="A259" s="544" t="s">
        <v>811</v>
      </c>
      <c r="B259" s="13"/>
      <c r="C259" s="13"/>
      <c r="D259" s="13"/>
      <c r="E259" s="13"/>
      <c r="F259" s="13"/>
      <c r="G259" s="13"/>
      <c r="H259" s="13"/>
      <c r="J259" s="118" t="s">
        <v>163</v>
      </c>
      <c r="K259" s="13"/>
      <c r="L259" s="13"/>
      <c r="M259" s="13"/>
      <c r="N259" s="13"/>
      <c r="P259" s="119"/>
      <c r="Q259" s="95"/>
      <c r="R259" s="95"/>
      <c r="S259" s="95"/>
      <c r="T259" s="95"/>
      <c r="U259" s="95"/>
      <c r="V259" s="95"/>
      <c r="W259" s="95"/>
      <c r="X259" s="95"/>
    </row>
    <row r="260" spans="1:24" ht="15" customHeight="1" thickBot="1">
      <c r="A260" s="13"/>
      <c r="B260" s="13"/>
      <c r="C260" s="13"/>
      <c r="D260" s="1158" t="s">
        <v>177</v>
      </c>
      <c r="E260" s="1158"/>
      <c r="F260" s="1158"/>
      <c r="G260" s="1158"/>
      <c r="H260" s="13"/>
      <c r="J260" s="13" t="s">
        <v>509</v>
      </c>
      <c r="K260" s="13"/>
      <c r="L260" s="1172">
        <f>10500000*1.03^10</f>
        <v>14111121.98311328</v>
      </c>
      <c r="M260" s="1172"/>
      <c r="N260" s="1172"/>
      <c r="P260" s="1173"/>
      <c r="Q260" s="1174"/>
      <c r="R260" s="1174"/>
      <c r="S260" s="1174"/>
      <c r="T260" s="1174"/>
      <c r="U260" s="1174"/>
      <c r="V260" s="1174"/>
      <c r="W260" s="1174"/>
      <c r="X260" s="1174"/>
    </row>
    <row r="261" spans="1:24" ht="15" customHeight="1" thickBot="1">
      <c r="A261" s="1175" t="s">
        <v>764</v>
      </c>
      <c r="B261" s="1148"/>
      <c r="C261" s="1148"/>
      <c r="D261" s="120" t="s">
        <v>160</v>
      </c>
      <c r="E261" s="121" t="s">
        <v>161</v>
      </c>
      <c r="F261" s="121" t="s">
        <v>162</v>
      </c>
      <c r="G261" s="121">
        <v>10</v>
      </c>
      <c r="H261" s="122" t="s">
        <v>154</v>
      </c>
      <c r="J261" s="123" t="s">
        <v>854</v>
      </c>
      <c r="K261" s="13"/>
      <c r="L261" s="17">
        <v>4</v>
      </c>
      <c r="N261" s="13"/>
      <c r="P261" s="1173"/>
      <c r="Q261" s="124"/>
      <c r="R261" s="124"/>
      <c r="S261" s="124"/>
      <c r="T261" s="124"/>
      <c r="U261" s="124"/>
      <c r="V261" s="124"/>
      <c r="W261" s="124"/>
      <c r="X261" s="124"/>
    </row>
    <row r="262" spans="1:24" ht="15" customHeight="1">
      <c r="A262" s="1035" t="s">
        <v>850</v>
      </c>
      <c r="B262" s="1035"/>
      <c r="C262" s="1035"/>
      <c r="D262" s="125">
        <f>K$272*Q282*U282*Q297/10^9</f>
        <v>91.630570597346079</v>
      </c>
      <c r="E262" s="126">
        <f>L$272*R282*V282*R297/10^9</f>
        <v>342.90026418965277</v>
      </c>
      <c r="F262" s="126">
        <f>M$272*S282*W282*S297/10^9</f>
        <v>635.00048924009752</v>
      </c>
      <c r="G262" s="126">
        <f>N$272*T282*X282*T297/10^9</f>
        <v>740.83390411344715</v>
      </c>
      <c r="H262" s="127">
        <f>SUM(D262:G262)</f>
        <v>1810.3652281405434</v>
      </c>
      <c r="J262" s="13"/>
      <c r="K262" s="17" t="s">
        <v>175</v>
      </c>
      <c r="L262" s="17" t="s">
        <v>176</v>
      </c>
      <c r="M262" s="13"/>
      <c r="N262" s="13"/>
      <c r="P262" s="128"/>
      <c r="Q262" s="129"/>
      <c r="R262" s="129"/>
      <c r="S262" s="129"/>
      <c r="T262" s="129"/>
      <c r="U262" s="124"/>
      <c r="V262" s="124"/>
      <c r="W262" s="124"/>
      <c r="X262" s="124"/>
    </row>
    <row r="263" spans="1:24" ht="15" customHeight="1">
      <c r="A263" s="1035" t="s">
        <v>851</v>
      </c>
      <c r="B263" s="1035"/>
      <c r="C263" s="1035"/>
      <c r="D263" s="130">
        <f t="shared" ref="D263:D272" si="4">K$272*Q283*U283*Q298/10^9</f>
        <v>11.465286611279542</v>
      </c>
      <c r="E263" s="131">
        <f t="shared" ref="E263:E272" si="5">L$272*R283*V283*R298/10^9</f>
        <v>23.812518346503662</v>
      </c>
      <c r="F263" s="131">
        <f t="shared" ref="F263:F272" si="6">M$272*S283*W283*S298/10^9</f>
        <v>66.145884295843501</v>
      </c>
      <c r="G263" s="131">
        <f t="shared" ref="G263:G272" si="7">N$272*T283*X283*T298/10^9</f>
        <v>95.250073386014648</v>
      </c>
      <c r="H263" s="132">
        <f t="shared" ref="H263:H273" si="8">SUM(D263:G263)</f>
        <v>196.67376263964135</v>
      </c>
      <c r="J263" s="13" t="s">
        <v>169</v>
      </c>
      <c r="K263" s="17" t="s">
        <v>100</v>
      </c>
      <c r="L263" s="17" t="s">
        <v>100</v>
      </c>
      <c r="M263" s="13"/>
      <c r="N263" s="13"/>
      <c r="P263" s="128"/>
      <c r="Q263" s="129"/>
      <c r="R263" s="129"/>
      <c r="S263" s="129"/>
      <c r="T263" s="129"/>
      <c r="U263" s="124"/>
      <c r="V263" s="124"/>
      <c r="W263" s="124"/>
      <c r="X263" s="124"/>
    </row>
    <row r="264" spans="1:24" ht="15" customHeight="1">
      <c r="A264" s="1035" t="s">
        <v>852</v>
      </c>
      <c r="B264" s="1035"/>
      <c r="C264" s="1035"/>
      <c r="D264" s="130">
        <f t="shared" si="4"/>
        <v>10.969986229672264</v>
      </c>
      <c r="E264" s="131">
        <f t="shared" si="5"/>
        <v>39.03919507799197</v>
      </c>
      <c r="F264" s="131">
        <f t="shared" si="6"/>
        <v>88.968860213281332</v>
      </c>
      <c r="G264" s="131">
        <f t="shared" si="7"/>
        <v>107.59024956024719</v>
      </c>
      <c r="H264" s="132">
        <f t="shared" si="8"/>
        <v>246.56829108119274</v>
      </c>
      <c r="J264" s="13" t="s">
        <v>165</v>
      </c>
      <c r="K264" s="133">
        <v>0.15</v>
      </c>
      <c r="L264" s="133">
        <v>0.13</v>
      </c>
      <c r="M264" s="13"/>
      <c r="N264" s="133"/>
      <c r="P264" s="128"/>
      <c r="Q264" s="129"/>
      <c r="R264" s="129"/>
      <c r="S264" s="129"/>
      <c r="T264" s="129"/>
      <c r="U264" s="124"/>
      <c r="V264" s="124"/>
      <c r="W264" s="124"/>
      <c r="X264" s="124"/>
    </row>
    <row r="265" spans="1:24" ht="15" customHeight="1">
      <c r="A265" s="1035" t="s">
        <v>155</v>
      </c>
      <c r="B265" s="1035"/>
      <c r="C265" s="1035"/>
      <c r="D265" s="130">
        <f t="shared" si="4"/>
        <v>44.714617783990207</v>
      </c>
      <c r="E265" s="131">
        <f t="shared" si="5"/>
        <v>100.01257705531538</v>
      </c>
      <c r="F265" s="131">
        <f t="shared" si="6"/>
        <v>170.92096502045959</v>
      </c>
      <c r="G265" s="131">
        <f t="shared" si="7"/>
        <v>237.06684931630309</v>
      </c>
      <c r="H265" s="132">
        <f t="shared" si="8"/>
        <v>552.71500917606829</v>
      </c>
      <c r="J265" s="13" t="s">
        <v>166</v>
      </c>
      <c r="K265" s="133">
        <v>0.32</v>
      </c>
      <c r="L265" s="133">
        <v>0.27</v>
      </c>
      <c r="M265" s="13"/>
      <c r="N265" s="133"/>
      <c r="P265" s="128"/>
      <c r="Q265" s="129"/>
      <c r="R265" s="129"/>
      <c r="S265" s="129"/>
      <c r="T265" s="129"/>
      <c r="U265" s="124"/>
      <c r="V265" s="124"/>
      <c r="W265" s="124"/>
      <c r="X265" s="124"/>
    </row>
    <row r="266" spans="1:24" ht="15" customHeight="1">
      <c r="A266" s="1035" t="s">
        <v>156</v>
      </c>
      <c r="B266" s="1035"/>
      <c r="C266" s="1035"/>
      <c r="D266" s="130">
        <f t="shared" si="4"/>
        <v>0</v>
      </c>
      <c r="E266" s="131">
        <f t="shared" si="5"/>
        <v>0</v>
      </c>
      <c r="F266" s="131">
        <f t="shared" si="6"/>
        <v>79.343311130550205</v>
      </c>
      <c r="G266" s="131">
        <f t="shared" si="7"/>
        <v>163.97617633647039</v>
      </c>
      <c r="H266" s="132">
        <f t="shared" si="8"/>
        <v>243.31948746702059</v>
      </c>
      <c r="J266" s="13" t="s">
        <v>167</v>
      </c>
      <c r="K266" s="133">
        <v>0.28000000000000003</v>
      </c>
      <c r="L266" s="133">
        <v>0.3</v>
      </c>
      <c r="M266" s="13"/>
      <c r="N266" s="133"/>
      <c r="P266" s="128"/>
      <c r="Q266" s="129"/>
      <c r="R266" s="129"/>
      <c r="S266" s="129"/>
      <c r="T266" s="129"/>
      <c r="U266" s="124"/>
      <c r="V266" s="124"/>
      <c r="W266" s="124"/>
      <c r="X266" s="124"/>
    </row>
    <row r="267" spans="1:24" ht="15" customHeight="1">
      <c r="A267" s="1035" t="s">
        <v>765</v>
      </c>
      <c r="B267" s="1035"/>
      <c r="C267" s="1035"/>
      <c r="D267" s="130">
        <f t="shared" si="4"/>
        <v>0</v>
      </c>
      <c r="E267" s="131">
        <f t="shared" si="5"/>
        <v>133.35010274042051</v>
      </c>
      <c r="F267" s="131">
        <f t="shared" si="6"/>
        <v>889.00068493613674</v>
      </c>
      <c r="G267" s="131">
        <f t="shared" si="7"/>
        <v>1809.7513943342781</v>
      </c>
      <c r="H267" s="132">
        <f t="shared" si="8"/>
        <v>2832.1021820108353</v>
      </c>
      <c r="J267" s="13" t="s">
        <v>168</v>
      </c>
      <c r="K267" s="133">
        <v>0.25</v>
      </c>
      <c r="L267" s="133">
        <v>0.3</v>
      </c>
      <c r="M267" s="13"/>
      <c r="N267" s="133"/>
      <c r="P267" s="128"/>
      <c r="Q267" s="129"/>
      <c r="R267" s="129"/>
      <c r="S267" s="129"/>
      <c r="T267" s="129"/>
      <c r="U267" s="124"/>
      <c r="V267" s="124"/>
      <c r="W267" s="124"/>
      <c r="X267" s="124"/>
    </row>
    <row r="268" spans="1:24" ht="15" customHeight="1">
      <c r="A268" s="1035" t="s">
        <v>157</v>
      </c>
      <c r="B268" s="1035"/>
      <c r="C268" s="1035"/>
      <c r="D268" s="130">
        <f t="shared" si="4"/>
        <v>0</v>
      </c>
      <c r="E268" s="131">
        <f t="shared" si="5"/>
        <v>51.446469637254225</v>
      </c>
      <c r="F268" s="131">
        <f t="shared" si="6"/>
        <v>190.54248013797863</v>
      </c>
      <c r="G268" s="131">
        <f t="shared" si="7"/>
        <v>444.50034246806837</v>
      </c>
      <c r="H268" s="132">
        <f t="shared" si="8"/>
        <v>686.48929224330118</v>
      </c>
      <c r="J268" s="13"/>
      <c r="K268" s="134"/>
      <c r="L268" s="135"/>
      <c r="M268" s="13"/>
      <c r="N268" s="13"/>
      <c r="P268" s="128"/>
      <c r="Q268" s="129"/>
      <c r="R268" s="129"/>
      <c r="S268" s="129"/>
      <c r="T268" s="129"/>
      <c r="U268" s="124"/>
      <c r="V268" s="124"/>
      <c r="W268" s="124"/>
      <c r="X268" s="124"/>
    </row>
    <row r="269" spans="1:24" ht="15" customHeight="1">
      <c r="A269" s="1035" t="s">
        <v>158</v>
      </c>
      <c r="B269" s="1035"/>
      <c r="C269" s="1035"/>
      <c r="D269" s="130">
        <f t="shared" si="4"/>
        <v>192.63928703125436</v>
      </c>
      <c r="E269" s="131">
        <f t="shared" si="5"/>
        <v>526.65013351088862</v>
      </c>
      <c r="F269" s="131">
        <f t="shared" si="6"/>
        <v>702.68116971843449</v>
      </c>
      <c r="G269" s="131">
        <f t="shared" si="7"/>
        <v>952.49015051865911</v>
      </c>
      <c r="H269" s="132">
        <f t="shared" si="8"/>
        <v>2374.4607407792364</v>
      </c>
      <c r="J269" s="136"/>
      <c r="K269" s="1176" t="s">
        <v>169</v>
      </c>
      <c r="L269" s="1177"/>
      <c r="M269" s="1177"/>
      <c r="N269" s="1178"/>
      <c r="P269" s="128"/>
      <c r="Q269" s="129"/>
      <c r="R269" s="129"/>
      <c r="S269" s="129"/>
      <c r="T269" s="129"/>
      <c r="U269" s="124"/>
      <c r="V269" s="124"/>
      <c r="W269" s="124"/>
      <c r="X269" s="124"/>
    </row>
    <row r="270" spans="1:24" ht="15" customHeight="1">
      <c r="A270" s="1035" t="s">
        <v>159</v>
      </c>
      <c r="B270" s="1035"/>
      <c r="C270" s="1035"/>
      <c r="D270" s="130">
        <f t="shared" si="4"/>
        <v>65.12282795206778</v>
      </c>
      <c r="E270" s="131">
        <f t="shared" si="5"/>
        <v>202.88265631221117</v>
      </c>
      <c r="F270" s="131">
        <f t="shared" si="6"/>
        <v>288.92522260424442</v>
      </c>
      <c r="G270" s="131">
        <f t="shared" si="7"/>
        <v>412.75031800606348</v>
      </c>
      <c r="H270" s="132">
        <f t="shared" si="8"/>
        <v>969.68102487458691</v>
      </c>
      <c r="J270" s="136"/>
      <c r="K270" s="1179" t="s">
        <v>164</v>
      </c>
      <c r="L270" s="1180"/>
      <c r="M270" s="1180"/>
      <c r="N270" s="1181"/>
      <c r="P270" s="128"/>
      <c r="Q270" s="129"/>
      <c r="R270" s="129"/>
      <c r="S270" s="129"/>
      <c r="T270" s="129"/>
      <c r="U270" s="124"/>
      <c r="V270" s="124"/>
      <c r="W270" s="124"/>
      <c r="X270" s="124"/>
    </row>
    <row r="271" spans="1:24" ht="15" customHeight="1">
      <c r="A271" s="1035" t="s">
        <v>853</v>
      </c>
      <c r="B271" s="1035"/>
      <c r="C271" s="1035"/>
      <c r="D271" s="130">
        <f t="shared" si="4"/>
        <v>12.382509540181902</v>
      </c>
      <c r="E271" s="131">
        <f t="shared" si="5"/>
        <v>228.60017612643517</v>
      </c>
      <c r="F271" s="131">
        <f t="shared" si="6"/>
        <v>317.50024462004882</v>
      </c>
      <c r="G271" s="131">
        <f t="shared" si="7"/>
        <v>444.50034246806831</v>
      </c>
      <c r="H271" s="132">
        <f t="shared" si="8"/>
        <v>1002.9832727547342</v>
      </c>
      <c r="J271" s="136"/>
      <c r="K271" s="137" t="s">
        <v>165</v>
      </c>
      <c r="L271" s="138" t="s">
        <v>166</v>
      </c>
      <c r="M271" s="138" t="s">
        <v>167</v>
      </c>
      <c r="N271" s="139" t="s">
        <v>168</v>
      </c>
      <c r="P271" s="128"/>
      <c r="Q271" s="129"/>
      <c r="R271" s="129"/>
      <c r="S271" s="129"/>
      <c r="T271" s="129"/>
      <c r="U271" s="124"/>
      <c r="V271" s="124"/>
      <c r="W271" s="124"/>
      <c r="X271" s="124"/>
    </row>
    <row r="272" spans="1:24" ht="15" customHeight="1">
      <c r="A272" s="1035" t="s">
        <v>106</v>
      </c>
      <c r="B272" s="1035"/>
      <c r="C272" s="1035"/>
      <c r="D272" s="130">
        <f t="shared" si="4"/>
        <v>9.1768154036681437</v>
      </c>
      <c r="E272" s="131">
        <f t="shared" si="5"/>
        <v>57.150044031608786</v>
      </c>
      <c r="F272" s="131">
        <f t="shared" si="6"/>
        <v>285.75022015804393</v>
      </c>
      <c r="G272" s="131">
        <f t="shared" si="7"/>
        <v>508.00039139207809</v>
      </c>
      <c r="H272" s="132">
        <f t="shared" si="8"/>
        <v>860.07747098539892</v>
      </c>
      <c r="J272" s="32" t="s">
        <v>498</v>
      </c>
      <c r="K272" s="551">
        <f>$L$260/$L$261*L264</f>
        <v>458611.46445118159</v>
      </c>
      <c r="L272" s="552">
        <f>$L$260/$L$261*L265</f>
        <v>952500.73386014649</v>
      </c>
      <c r="M272" s="552">
        <f>$L$260/$L$261*L266</f>
        <v>1058334.148733496</v>
      </c>
      <c r="N272" s="553">
        <f>$L$260/$L$261*L267</f>
        <v>1058334.148733496</v>
      </c>
      <c r="P272" s="128"/>
      <c r="Q272" s="129"/>
      <c r="R272" s="129"/>
      <c r="S272" s="129"/>
      <c r="T272" s="129"/>
      <c r="U272" s="124"/>
      <c r="V272" s="124"/>
      <c r="W272" s="124"/>
      <c r="X272" s="124"/>
    </row>
    <row r="273" spans="1:27" ht="15" customHeight="1" thickBot="1">
      <c r="A273" s="1027" t="s">
        <v>154</v>
      </c>
      <c r="B273" s="1027"/>
      <c r="C273" s="1027"/>
      <c r="D273" s="140">
        <f>SUM(D262:D272)</f>
        <v>438.10190114946022</v>
      </c>
      <c r="E273" s="141">
        <f>SUM(E262:E272)</f>
        <v>1705.8441370282824</v>
      </c>
      <c r="F273" s="141">
        <f>SUM(F262:F272)</f>
        <v>3714.7795320751193</v>
      </c>
      <c r="G273" s="141">
        <f>SUM(G261:G272)</f>
        <v>5926.7101918996977</v>
      </c>
      <c r="H273" s="142">
        <f t="shared" si="8"/>
        <v>11785.43576215256</v>
      </c>
      <c r="P273" s="95"/>
      <c r="Q273" s="95"/>
      <c r="R273" s="95"/>
      <c r="S273" s="95"/>
      <c r="T273" s="95"/>
      <c r="U273" s="95"/>
      <c r="V273" s="95"/>
      <c r="W273" s="95"/>
      <c r="X273" s="95"/>
    </row>
    <row r="274" spans="1:27" ht="15" customHeight="1">
      <c r="A274" s="86"/>
      <c r="B274" s="86"/>
      <c r="C274" s="86"/>
      <c r="D274" s="86"/>
      <c r="E274" s="86"/>
      <c r="F274" s="86"/>
      <c r="G274" s="86"/>
      <c r="H274" s="86"/>
      <c r="I274" s="86"/>
      <c r="K274" s="143"/>
    </row>
    <row r="276" spans="1:27" ht="15" customHeight="1">
      <c r="A276" s="1013" t="s">
        <v>857</v>
      </c>
      <c r="B276" s="1013"/>
      <c r="C276" s="1013"/>
      <c r="D276" s="1013"/>
      <c r="E276" s="1013"/>
      <c r="F276" s="1013"/>
      <c r="G276" s="1013"/>
      <c r="H276" s="1013"/>
      <c r="I276" s="1013"/>
      <c r="J276" s="1013"/>
      <c r="K276" s="1013"/>
      <c r="L276" s="1013"/>
      <c r="M276" s="1013"/>
      <c r="N276" s="1013"/>
      <c r="O276" s="1013"/>
      <c r="P276" s="1013"/>
      <c r="Q276" s="1013"/>
      <c r="R276" s="1013"/>
      <c r="S276" s="1013"/>
      <c r="T276" s="1013"/>
      <c r="U276" s="1013"/>
      <c r="V276" s="1013"/>
      <c r="W276" s="1013"/>
      <c r="X276" s="1013"/>
    </row>
    <row r="277" spans="1:27">
      <c r="A277" s="1013"/>
      <c r="B277" s="1013"/>
      <c r="C277" s="1013"/>
      <c r="D277" s="1013"/>
      <c r="E277" s="1013"/>
      <c r="F277" s="1013"/>
      <c r="G277" s="1013"/>
      <c r="H277" s="1013"/>
      <c r="I277" s="1013"/>
      <c r="J277" s="1013"/>
      <c r="K277" s="1013"/>
      <c r="L277" s="1013"/>
      <c r="M277" s="1013"/>
      <c r="N277" s="1013"/>
      <c r="O277" s="1013"/>
      <c r="P277" s="1013"/>
      <c r="Q277" s="1013"/>
      <c r="R277" s="1013"/>
      <c r="S277" s="1013"/>
      <c r="T277" s="1013"/>
      <c r="U277" s="1013"/>
      <c r="V277" s="1013"/>
      <c r="W277" s="1013"/>
      <c r="X277" s="1013"/>
    </row>
    <row r="279" spans="1:27" ht="15.75" thickBot="1">
      <c r="A279" s="543" t="s">
        <v>811</v>
      </c>
      <c r="J279" s="56" t="s">
        <v>163</v>
      </c>
      <c r="P279" s="576" t="s">
        <v>855</v>
      </c>
      <c r="Q279" s="527"/>
      <c r="R279" s="527"/>
      <c r="S279" s="527"/>
      <c r="T279" s="527"/>
      <c r="U279" s="527"/>
      <c r="V279" s="527"/>
      <c r="W279" s="527"/>
      <c r="X279" s="527"/>
      <c r="Y279" s="527"/>
      <c r="Z279" s="527"/>
      <c r="AA279" s="527"/>
    </row>
    <row r="280" spans="1:27" ht="15.75" thickBot="1">
      <c r="D280" s="1182" t="s">
        <v>177</v>
      </c>
      <c r="E280" s="1182"/>
      <c r="F280" s="1182"/>
      <c r="G280" s="1182"/>
      <c r="J280" s="49" t="s">
        <v>499</v>
      </c>
      <c r="L280" s="1028">
        <f>10500000*1.03^10</f>
        <v>14111121.98311328</v>
      </c>
      <c r="M280" s="1028"/>
      <c r="N280" s="1028"/>
      <c r="P280" s="1020" t="s">
        <v>764</v>
      </c>
      <c r="Q280" s="1022" t="s">
        <v>170</v>
      </c>
      <c r="R280" s="1023"/>
      <c r="S280" s="1023"/>
      <c r="T280" s="1024"/>
      <c r="U280" s="1022" t="s">
        <v>171</v>
      </c>
      <c r="V280" s="1023"/>
      <c r="W280" s="1023"/>
      <c r="X280" s="1023"/>
      <c r="Y280" s="527"/>
      <c r="Z280" s="527"/>
      <c r="AA280" s="527"/>
    </row>
    <row r="281" spans="1:27" ht="15.75" thickBot="1">
      <c r="A281" s="1148" t="s">
        <v>764</v>
      </c>
      <c r="B281" s="1148"/>
      <c r="C281" s="1148"/>
      <c r="D281" s="120" t="s">
        <v>160</v>
      </c>
      <c r="E281" s="121" t="s">
        <v>161</v>
      </c>
      <c r="F281" s="121" t="s">
        <v>162</v>
      </c>
      <c r="G281" s="121">
        <v>10</v>
      </c>
      <c r="H281" s="122" t="s">
        <v>154</v>
      </c>
      <c r="J281" s="123" t="s">
        <v>854</v>
      </c>
      <c r="L281" s="2">
        <v>4</v>
      </c>
      <c r="P281" s="1021"/>
      <c r="Q281" s="556" t="s">
        <v>160</v>
      </c>
      <c r="R281" s="556" t="s">
        <v>161</v>
      </c>
      <c r="S281" s="556" t="s">
        <v>162</v>
      </c>
      <c r="T281" s="557">
        <v>10</v>
      </c>
      <c r="U281" s="556" t="s">
        <v>160</v>
      </c>
      <c r="V281" s="556" t="s">
        <v>161</v>
      </c>
      <c r="W281" s="556" t="s">
        <v>162</v>
      </c>
      <c r="X281" s="556">
        <v>10</v>
      </c>
      <c r="Y281" s="527"/>
      <c r="Z281" s="527"/>
      <c r="AA281" s="527"/>
    </row>
    <row r="282" spans="1:27">
      <c r="A282" s="1035" t="s">
        <v>850</v>
      </c>
      <c r="B282" s="1035"/>
      <c r="C282" s="1035"/>
      <c r="D282" s="125">
        <f t="shared" ref="D282:G283" si="9">K$292*Q282*U282*Q297/10^9</f>
        <v>105.72758145847624</v>
      </c>
      <c r="E282" s="126">
        <f t="shared" si="9"/>
        <v>406.40031311366249</v>
      </c>
      <c r="F282" s="126">
        <f t="shared" si="9"/>
        <v>592.66712329075779</v>
      </c>
      <c r="G282" s="126">
        <f t="shared" si="9"/>
        <v>617.36158676120601</v>
      </c>
      <c r="H282" s="127">
        <f>SUM(D282:G282)</f>
        <v>1722.1566046241028</v>
      </c>
      <c r="K282" s="2" t="s">
        <v>175</v>
      </c>
      <c r="L282" s="2" t="s">
        <v>176</v>
      </c>
      <c r="P282" s="558" t="s">
        <v>850</v>
      </c>
      <c r="Q282" s="559">
        <v>1</v>
      </c>
      <c r="R282" s="560">
        <v>2</v>
      </c>
      <c r="S282" s="560">
        <v>4</v>
      </c>
      <c r="T282" s="561">
        <v>7</v>
      </c>
      <c r="U282" s="562">
        <v>60</v>
      </c>
      <c r="V282" s="562">
        <v>60</v>
      </c>
      <c r="W282" s="562">
        <v>60</v>
      </c>
      <c r="X282" s="562">
        <v>100</v>
      </c>
      <c r="Y282" s="527"/>
      <c r="Z282" s="527"/>
      <c r="AA282" s="527"/>
    </row>
    <row r="283" spans="1:27">
      <c r="A283" s="1035" t="s">
        <v>851</v>
      </c>
      <c r="B283" s="1035"/>
      <c r="C283" s="1035"/>
      <c r="D283" s="130">
        <f t="shared" si="9"/>
        <v>13.2291768591687</v>
      </c>
      <c r="E283" s="131">
        <f t="shared" si="9"/>
        <v>28.222243966226557</v>
      </c>
      <c r="F283" s="131">
        <f t="shared" si="9"/>
        <v>61.736158676120596</v>
      </c>
      <c r="G283" s="131">
        <f t="shared" si="9"/>
        <v>79.37506115501219</v>
      </c>
      <c r="H283" s="132">
        <f t="shared" ref="H283:H293" si="10">SUM(D283:G283)</f>
        <v>182.56264065652806</v>
      </c>
      <c r="J283" s="49" t="s">
        <v>169</v>
      </c>
      <c r="K283" s="2" t="s">
        <v>100</v>
      </c>
      <c r="L283" s="2" t="s">
        <v>100</v>
      </c>
      <c r="P283" s="558" t="s">
        <v>851</v>
      </c>
      <c r="Q283" s="563">
        <v>1</v>
      </c>
      <c r="R283" s="564">
        <v>1</v>
      </c>
      <c r="S283" s="564">
        <v>2.5</v>
      </c>
      <c r="T283" s="565">
        <v>3</v>
      </c>
      <c r="U283" s="562">
        <v>20</v>
      </c>
      <c r="V283" s="562">
        <v>20</v>
      </c>
      <c r="W283" s="562">
        <v>20</v>
      </c>
      <c r="X283" s="562">
        <v>20</v>
      </c>
      <c r="Y283" s="527"/>
      <c r="Z283" s="527"/>
      <c r="AA283" s="527"/>
    </row>
    <row r="284" spans="1:27">
      <c r="A284" s="1035" t="s">
        <v>852</v>
      </c>
      <c r="B284" s="1035"/>
      <c r="C284" s="1035"/>
      <c r="D284" s="130">
        <f t="shared" ref="D284:D292" si="11">K$292*Q284*U284*Q299/10^9</f>
        <v>12.657676418852612</v>
      </c>
      <c r="E284" s="131">
        <f t="shared" ref="E284:E292" si="12">L$292*R284*V284*R299/10^9</f>
        <v>46.26867564799047</v>
      </c>
      <c r="F284" s="131">
        <f t="shared" ref="F284:F292" si="13">M$292*S284*W284*S299/10^9</f>
        <v>83.037602865729255</v>
      </c>
      <c r="G284" s="131">
        <f t="shared" ref="G284:G292" si="14">N$292*T284*X284*T299/10^9</f>
        <v>89.658541300205997</v>
      </c>
      <c r="H284" s="132">
        <f t="shared" si="10"/>
        <v>231.62249623277833</v>
      </c>
      <c r="J284" s="49" t="s">
        <v>165</v>
      </c>
      <c r="K284" s="144">
        <v>0.15</v>
      </c>
      <c r="L284" s="144">
        <v>0.13</v>
      </c>
      <c r="N284" s="144"/>
      <c r="P284" s="558" t="s">
        <v>852</v>
      </c>
      <c r="Q284" s="564">
        <v>0.8</v>
      </c>
      <c r="R284" s="564">
        <v>0.81</v>
      </c>
      <c r="S284" s="564">
        <v>0.85</v>
      </c>
      <c r="T284" s="565">
        <v>0.85</v>
      </c>
      <c r="U284" s="562">
        <v>2300</v>
      </c>
      <c r="V284" s="562">
        <v>2300</v>
      </c>
      <c r="W284" s="562">
        <v>2300</v>
      </c>
      <c r="X284" s="562">
        <v>2300</v>
      </c>
      <c r="Y284" s="527"/>
      <c r="Z284" s="527"/>
      <c r="AA284" s="527"/>
    </row>
    <row r="285" spans="1:27">
      <c r="A285" s="1035" t="s">
        <v>155</v>
      </c>
      <c r="B285" s="1035"/>
      <c r="C285" s="1035"/>
      <c r="D285" s="130">
        <f t="shared" si="11"/>
        <v>51.593789750757928</v>
      </c>
      <c r="E285" s="131">
        <f t="shared" si="12"/>
        <v>118.53342465815153</v>
      </c>
      <c r="F285" s="131">
        <f t="shared" si="13"/>
        <v>159.52623401909563</v>
      </c>
      <c r="G285" s="131">
        <f t="shared" si="14"/>
        <v>197.55570776358593</v>
      </c>
      <c r="H285" s="132">
        <f t="shared" si="10"/>
        <v>527.20915619159098</v>
      </c>
      <c r="J285" s="49" t="s">
        <v>166</v>
      </c>
      <c r="K285" s="144">
        <v>0.32</v>
      </c>
      <c r="L285" s="144">
        <v>0.27</v>
      </c>
      <c r="N285" s="144"/>
      <c r="P285" s="558" t="s">
        <v>155</v>
      </c>
      <c r="Q285" s="564">
        <v>0.65</v>
      </c>
      <c r="R285" s="564">
        <v>0.7</v>
      </c>
      <c r="S285" s="564">
        <v>0.85</v>
      </c>
      <c r="T285" s="565">
        <v>1.1200000000000001</v>
      </c>
      <c r="U285" s="562">
        <v>100</v>
      </c>
      <c r="V285" s="562">
        <v>100</v>
      </c>
      <c r="W285" s="562">
        <v>100</v>
      </c>
      <c r="X285" s="562">
        <v>100</v>
      </c>
      <c r="Y285" s="527"/>
      <c r="Z285" s="527"/>
      <c r="AA285" s="527"/>
    </row>
    <row r="286" spans="1:27">
      <c r="A286" s="1035" t="s">
        <v>156</v>
      </c>
      <c r="B286" s="1035"/>
      <c r="C286" s="1035"/>
      <c r="D286" s="130">
        <f t="shared" si="11"/>
        <v>0</v>
      </c>
      <c r="E286" s="131">
        <f t="shared" si="12"/>
        <v>0</v>
      </c>
      <c r="F286" s="131">
        <f t="shared" si="13"/>
        <v>74.053757055180171</v>
      </c>
      <c r="G286" s="131">
        <f t="shared" si="14"/>
        <v>136.64681361372533</v>
      </c>
      <c r="H286" s="132">
        <f t="shared" si="10"/>
        <v>210.7005706689055</v>
      </c>
      <c r="J286" s="49" t="s">
        <v>167</v>
      </c>
      <c r="K286" s="144">
        <v>0.28000000000000003</v>
      </c>
      <c r="L286" s="144">
        <v>0.3</v>
      </c>
      <c r="N286" s="144"/>
      <c r="P286" s="558" t="s">
        <v>156</v>
      </c>
      <c r="Q286" s="564">
        <v>0</v>
      </c>
      <c r="R286" s="564">
        <v>0.04</v>
      </c>
      <c r="S286" s="564">
        <v>0.15</v>
      </c>
      <c r="T286" s="565">
        <v>0.31</v>
      </c>
      <c r="U286" s="562">
        <v>600</v>
      </c>
      <c r="V286" s="562">
        <v>600</v>
      </c>
      <c r="W286" s="562">
        <v>600</v>
      </c>
      <c r="X286" s="562">
        <v>600</v>
      </c>
      <c r="Y286" s="527"/>
      <c r="Z286" s="527"/>
      <c r="AA286" s="527"/>
    </row>
    <row r="287" spans="1:27">
      <c r="A287" s="1035" t="s">
        <v>765</v>
      </c>
      <c r="B287" s="1035"/>
      <c r="C287" s="1035"/>
      <c r="D287" s="130">
        <f t="shared" si="11"/>
        <v>0</v>
      </c>
      <c r="E287" s="131">
        <f t="shared" si="12"/>
        <v>158.04456621086874</v>
      </c>
      <c r="F287" s="131">
        <f t="shared" si="13"/>
        <v>829.73397260706076</v>
      </c>
      <c r="G287" s="131">
        <f t="shared" si="14"/>
        <v>1508.1261619452316</v>
      </c>
      <c r="H287" s="132">
        <f t="shared" si="10"/>
        <v>2495.9047007631611</v>
      </c>
      <c r="J287" s="49" t="s">
        <v>168</v>
      </c>
      <c r="K287" s="144">
        <v>0.25</v>
      </c>
      <c r="L287" s="144">
        <v>0.3</v>
      </c>
      <c r="N287" s="144"/>
      <c r="P287" s="558" t="s">
        <v>765</v>
      </c>
      <c r="Q287" s="564">
        <v>0</v>
      </c>
      <c r="R287" s="564">
        <v>0.2</v>
      </c>
      <c r="S287" s="564">
        <v>0.7</v>
      </c>
      <c r="T287" s="565">
        <v>0.95</v>
      </c>
      <c r="U287" s="562">
        <v>350</v>
      </c>
      <c r="V287" s="562">
        <v>350</v>
      </c>
      <c r="W287" s="562">
        <v>400</v>
      </c>
      <c r="X287" s="562">
        <v>400</v>
      </c>
      <c r="Y287" s="527"/>
      <c r="Z287" s="527"/>
      <c r="AA287" s="527"/>
    </row>
    <row r="288" spans="1:27">
      <c r="A288" s="1035" t="s">
        <v>157</v>
      </c>
      <c r="B288" s="1035"/>
      <c r="C288" s="1035"/>
      <c r="D288" s="130">
        <f t="shared" si="11"/>
        <v>0</v>
      </c>
      <c r="E288" s="131">
        <f t="shared" si="12"/>
        <v>60.973593644153162</v>
      </c>
      <c r="F288" s="131">
        <f t="shared" si="13"/>
        <v>177.83964812878008</v>
      </c>
      <c r="G288" s="131">
        <f t="shared" si="14"/>
        <v>370.41695205672357</v>
      </c>
      <c r="H288" s="132">
        <f t="shared" si="10"/>
        <v>609.23019382965686</v>
      </c>
      <c r="K288" s="145"/>
      <c r="L288" s="146"/>
      <c r="P288" s="558" t="s">
        <v>157</v>
      </c>
      <c r="Q288" s="564">
        <v>0</v>
      </c>
      <c r="R288" s="564">
        <v>0.06</v>
      </c>
      <c r="S288" s="564">
        <v>0.2</v>
      </c>
      <c r="T288" s="565">
        <v>0.35</v>
      </c>
      <c r="U288" s="562">
        <v>700</v>
      </c>
      <c r="V288" s="562">
        <v>700</v>
      </c>
      <c r="W288" s="562">
        <v>700</v>
      </c>
      <c r="X288" s="562">
        <v>800</v>
      </c>
      <c r="Y288" s="527"/>
      <c r="Z288" s="527"/>
      <c r="AA288" s="527"/>
    </row>
    <row r="289" spans="1:27">
      <c r="A289" s="1035" t="s">
        <v>158</v>
      </c>
      <c r="B289" s="1035"/>
      <c r="C289" s="1035"/>
      <c r="D289" s="130">
        <f t="shared" si="11"/>
        <v>222.27610042067809</v>
      </c>
      <c r="E289" s="131">
        <f t="shared" si="12"/>
        <v>624.17793601290487</v>
      </c>
      <c r="F289" s="131">
        <f t="shared" si="13"/>
        <v>655.83575840387209</v>
      </c>
      <c r="G289" s="131">
        <f t="shared" si="14"/>
        <v>793.74179209888257</v>
      </c>
      <c r="H289" s="132">
        <f t="shared" si="10"/>
        <v>2296.0315869363376</v>
      </c>
      <c r="J289" s="94"/>
      <c r="K289" s="1029" t="s">
        <v>169</v>
      </c>
      <c r="L289" s="1030"/>
      <c r="M289" s="1030"/>
      <c r="N289" s="1031"/>
      <c r="P289" s="558" t="s">
        <v>158</v>
      </c>
      <c r="Q289" s="564">
        <v>0.7</v>
      </c>
      <c r="R289" s="564">
        <v>0.79</v>
      </c>
      <c r="S289" s="564">
        <v>0.83</v>
      </c>
      <c r="T289" s="565">
        <v>1</v>
      </c>
      <c r="U289" s="562">
        <v>230</v>
      </c>
      <c r="V289" s="562">
        <v>230</v>
      </c>
      <c r="W289" s="562">
        <v>230</v>
      </c>
      <c r="X289" s="562">
        <v>230</v>
      </c>
      <c r="Y289" s="527"/>
      <c r="Z289" s="527"/>
      <c r="AA289" s="527"/>
    </row>
    <row r="290" spans="1:27">
      <c r="A290" s="1035" t="s">
        <v>159</v>
      </c>
      <c r="B290" s="1035"/>
      <c r="C290" s="1035"/>
      <c r="D290" s="130">
        <f t="shared" si="11"/>
        <v>75.141724560078202</v>
      </c>
      <c r="E290" s="131">
        <f t="shared" si="12"/>
        <v>240.45351859225028</v>
      </c>
      <c r="F290" s="131">
        <f t="shared" si="13"/>
        <v>269.6635410972948</v>
      </c>
      <c r="G290" s="131">
        <f t="shared" si="14"/>
        <v>343.9585983383862</v>
      </c>
      <c r="H290" s="132">
        <f t="shared" si="10"/>
        <v>929.2173825880094</v>
      </c>
      <c r="J290" s="94"/>
      <c r="K290" s="1032" t="s">
        <v>164</v>
      </c>
      <c r="L290" s="1033"/>
      <c r="M290" s="1033"/>
      <c r="N290" s="1034"/>
      <c r="P290" s="558" t="s">
        <v>159</v>
      </c>
      <c r="Q290" s="564">
        <v>0.71</v>
      </c>
      <c r="R290" s="564">
        <v>0.71</v>
      </c>
      <c r="S290" s="564">
        <v>0.78</v>
      </c>
      <c r="T290" s="565">
        <v>0.78</v>
      </c>
      <c r="U290" s="562">
        <v>200</v>
      </c>
      <c r="V290" s="562">
        <v>200</v>
      </c>
      <c r="W290" s="562">
        <v>200</v>
      </c>
      <c r="X290" s="562">
        <v>200</v>
      </c>
      <c r="Y290" s="527"/>
      <c r="Z290" s="527"/>
      <c r="AA290" s="527"/>
    </row>
    <row r="291" spans="1:27">
      <c r="A291" s="1035" t="s">
        <v>853</v>
      </c>
      <c r="B291" s="1035"/>
      <c r="C291" s="1035"/>
      <c r="D291" s="130">
        <f t="shared" si="11"/>
        <v>14.287511007902195</v>
      </c>
      <c r="E291" s="131">
        <f t="shared" si="12"/>
        <v>270.93354207577494</v>
      </c>
      <c r="F291" s="131">
        <f t="shared" si="13"/>
        <v>296.33356164537889</v>
      </c>
      <c r="G291" s="131">
        <f t="shared" si="14"/>
        <v>370.41695205672357</v>
      </c>
      <c r="H291" s="132">
        <f t="shared" si="10"/>
        <v>951.97156678577971</v>
      </c>
      <c r="J291" s="94"/>
      <c r="K291" s="147" t="s">
        <v>165</v>
      </c>
      <c r="L291" s="148" t="s">
        <v>166</v>
      </c>
      <c r="M291" s="148" t="s">
        <v>167</v>
      </c>
      <c r="N291" s="115" t="s">
        <v>168</v>
      </c>
      <c r="P291" s="558" t="s">
        <v>853</v>
      </c>
      <c r="Q291" s="564">
        <v>0.09</v>
      </c>
      <c r="R291" s="564">
        <v>0.8</v>
      </c>
      <c r="S291" s="564">
        <v>0.6</v>
      </c>
      <c r="T291" s="565">
        <v>0.7</v>
      </c>
      <c r="U291" s="562">
        <v>2500</v>
      </c>
      <c r="V291" s="562">
        <v>2500</v>
      </c>
      <c r="W291" s="562">
        <v>2500</v>
      </c>
      <c r="X291" s="562">
        <v>3000</v>
      </c>
      <c r="Y291" s="527"/>
      <c r="Z291" s="527"/>
      <c r="AA291" s="527"/>
    </row>
    <row r="292" spans="1:27" ht="15.75" thickBot="1">
      <c r="A292" s="1035" t="s">
        <v>106</v>
      </c>
      <c r="B292" s="1035"/>
      <c r="C292" s="1035"/>
      <c r="D292" s="130">
        <f t="shared" si="11"/>
        <v>10.588633158078627</v>
      </c>
      <c r="E292" s="131">
        <f t="shared" si="12"/>
        <v>67.733385518943734</v>
      </c>
      <c r="F292" s="131">
        <f t="shared" si="13"/>
        <v>266.70020548084102</v>
      </c>
      <c r="G292" s="131">
        <f t="shared" si="14"/>
        <v>423.33365949339839</v>
      </c>
      <c r="H292" s="132">
        <f t="shared" si="10"/>
        <v>768.35588365126182</v>
      </c>
      <c r="J292" s="149" t="s">
        <v>498</v>
      </c>
      <c r="K292" s="554">
        <f>$L$280/$L$281*K284</f>
        <v>529167.07436674798</v>
      </c>
      <c r="L292" s="425">
        <f>$L$280/$L$281*K285</f>
        <v>1128889.7586490624</v>
      </c>
      <c r="M292" s="425">
        <f>$L$280/$L$281*K286</f>
        <v>987778.53881792969</v>
      </c>
      <c r="N292" s="555">
        <f>$L$280/$L$281*K287</f>
        <v>881945.12394457997</v>
      </c>
      <c r="P292" s="566" t="s">
        <v>106</v>
      </c>
      <c r="Q292" s="567">
        <v>0.5</v>
      </c>
      <c r="R292" s="567">
        <v>1</v>
      </c>
      <c r="S292" s="567">
        <v>1.5</v>
      </c>
      <c r="T292" s="568">
        <v>2</v>
      </c>
      <c r="U292" s="556">
        <v>60</v>
      </c>
      <c r="V292" s="556">
        <v>60</v>
      </c>
      <c r="W292" s="556">
        <v>60</v>
      </c>
      <c r="X292" s="556">
        <v>100</v>
      </c>
      <c r="Y292" s="527"/>
      <c r="Z292" s="527"/>
      <c r="AA292" s="527"/>
    </row>
    <row r="293" spans="1:27" ht="15.75" thickBot="1">
      <c r="A293" s="1027" t="s">
        <v>154</v>
      </c>
      <c r="B293" s="1027"/>
      <c r="C293" s="1027"/>
      <c r="D293" s="140">
        <f>SUM(D282:D292)</f>
        <v>505.50219363399259</v>
      </c>
      <c r="E293" s="141">
        <f>SUM(E282:E292)</f>
        <v>2021.7411994409269</v>
      </c>
      <c r="F293" s="141">
        <f>SUM(F282:F292)</f>
        <v>3467.1275632701108</v>
      </c>
      <c r="G293" s="141">
        <f>SUM(G281:G292)</f>
        <v>4940.5918265830805</v>
      </c>
      <c r="H293" s="142">
        <f t="shared" si="10"/>
        <v>10934.962782928111</v>
      </c>
      <c r="P293" s="527"/>
      <c r="Q293" s="527"/>
      <c r="R293" s="527"/>
      <c r="S293" s="527"/>
      <c r="T293" s="527"/>
      <c r="U293" s="527"/>
      <c r="V293" s="527"/>
      <c r="W293" s="527"/>
      <c r="X293" s="527"/>
      <c r="Y293" s="527"/>
      <c r="Z293" s="527"/>
      <c r="AA293" s="527"/>
    </row>
    <row r="294" spans="1:27" ht="15.75" thickBot="1">
      <c r="K294" s="150"/>
      <c r="M294" s="151"/>
      <c r="P294" s="576" t="s">
        <v>856</v>
      </c>
      <c r="Q294" s="527"/>
      <c r="R294" s="527"/>
      <c r="S294" s="527"/>
      <c r="T294" s="527"/>
      <c r="U294" s="527"/>
      <c r="V294" s="527"/>
      <c r="W294" s="527"/>
      <c r="X294" s="527"/>
      <c r="Y294" s="527"/>
      <c r="Z294" s="527"/>
      <c r="AA294" s="527"/>
    </row>
    <row r="295" spans="1:27" ht="15" customHeight="1">
      <c r="A295" s="1084" t="s">
        <v>859</v>
      </c>
      <c r="B295" s="1084"/>
      <c r="C295" s="1084"/>
      <c r="D295" s="1084"/>
      <c r="E295" s="1084"/>
      <c r="F295" s="1084"/>
      <c r="G295" s="1084"/>
      <c r="H295" s="1084"/>
      <c r="K295" s="152"/>
      <c r="P295" s="1020" t="s">
        <v>858</v>
      </c>
      <c r="Q295" s="1022" t="s">
        <v>172</v>
      </c>
      <c r="R295" s="1023"/>
      <c r="S295" s="1023"/>
      <c r="T295" s="1024"/>
      <c r="U295" s="1025" t="s">
        <v>173</v>
      </c>
      <c r="V295" s="1026"/>
      <c r="W295" s="1026"/>
      <c r="X295" s="1026"/>
      <c r="Y295" s="1026"/>
      <c r="Z295" s="527"/>
      <c r="AA295" s="527"/>
    </row>
    <row r="296" spans="1:27" ht="15.75" thickBot="1">
      <c r="A296" s="1084"/>
      <c r="B296" s="1084"/>
      <c r="C296" s="1084"/>
      <c r="D296" s="1084"/>
      <c r="E296" s="1084"/>
      <c r="F296" s="1084"/>
      <c r="G296" s="1084"/>
      <c r="H296" s="1084"/>
      <c r="P296" s="1021"/>
      <c r="Q296" s="556" t="s">
        <v>160</v>
      </c>
      <c r="R296" s="556" t="s">
        <v>161</v>
      </c>
      <c r="S296" s="556" t="s">
        <v>162</v>
      </c>
      <c r="T296" s="557">
        <v>10</v>
      </c>
      <c r="U296" s="569" t="s">
        <v>160</v>
      </c>
      <c r="V296" s="569" t="s">
        <v>161</v>
      </c>
      <c r="W296" s="569" t="s">
        <v>162</v>
      </c>
      <c r="X296" s="569">
        <v>10</v>
      </c>
      <c r="Y296" s="569" t="s">
        <v>154</v>
      </c>
      <c r="Z296" s="527"/>
      <c r="AA296" s="527"/>
    </row>
    <row r="297" spans="1:27">
      <c r="A297" s="1084"/>
      <c r="B297" s="1084"/>
      <c r="C297" s="1084"/>
      <c r="D297" s="1084"/>
      <c r="E297" s="1084"/>
      <c r="F297" s="1084"/>
      <c r="G297" s="1084"/>
      <c r="H297" s="1084"/>
      <c r="P297" s="558" t="s">
        <v>850</v>
      </c>
      <c r="Q297" s="570">
        <v>3330</v>
      </c>
      <c r="R297" s="571">
        <v>3000</v>
      </c>
      <c r="S297" s="571">
        <v>2500</v>
      </c>
      <c r="T297" s="572">
        <v>1000</v>
      </c>
      <c r="U297" s="573">
        <v>75</v>
      </c>
      <c r="V297" s="573">
        <v>289</v>
      </c>
      <c r="W297" s="573">
        <v>422</v>
      </c>
      <c r="X297" s="573">
        <v>440</v>
      </c>
      <c r="Y297" s="573">
        <v>1226</v>
      </c>
      <c r="Z297" s="527"/>
      <c r="AA297" s="527"/>
    </row>
    <row r="298" spans="1:27" ht="28.5" customHeight="1">
      <c r="A298" s="1085"/>
      <c r="B298" s="1085"/>
      <c r="C298" s="1085"/>
      <c r="D298" s="1085"/>
      <c r="E298" s="1085"/>
      <c r="F298" s="1085"/>
      <c r="G298" s="1085"/>
      <c r="H298" s="1085"/>
      <c r="P298" s="558" t="s">
        <v>851</v>
      </c>
      <c r="Q298" s="574">
        <v>1250</v>
      </c>
      <c r="R298" s="562">
        <v>1250</v>
      </c>
      <c r="S298" s="562">
        <v>1250</v>
      </c>
      <c r="T298" s="575">
        <v>1500</v>
      </c>
      <c r="U298" s="573">
        <v>9</v>
      </c>
      <c r="V298" s="573">
        <v>20</v>
      </c>
      <c r="W298" s="573">
        <v>44</v>
      </c>
      <c r="X298" s="573">
        <v>57</v>
      </c>
      <c r="Y298" s="573">
        <v>130</v>
      </c>
      <c r="Z298" s="527"/>
      <c r="AA298" s="527"/>
    </row>
    <row r="299" spans="1:27">
      <c r="A299" s="1040" t="s">
        <v>817</v>
      </c>
      <c r="B299" s="1183"/>
      <c r="C299" s="1183"/>
      <c r="D299" s="1183"/>
      <c r="E299" s="1183"/>
      <c r="F299" s="1183"/>
      <c r="G299" s="1183"/>
      <c r="H299" s="1183"/>
      <c r="P299" s="558" t="s">
        <v>852</v>
      </c>
      <c r="Q299" s="562">
        <v>13</v>
      </c>
      <c r="R299" s="562">
        <v>22</v>
      </c>
      <c r="S299" s="562">
        <v>43</v>
      </c>
      <c r="T299" s="575">
        <v>52</v>
      </c>
      <c r="U299" s="573">
        <v>9</v>
      </c>
      <c r="V299" s="573">
        <v>33</v>
      </c>
      <c r="W299" s="573">
        <v>59</v>
      </c>
      <c r="X299" s="573">
        <v>64</v>
      </c>
      <c r="Y299" s="573">
        <v>165</v>
      </c>
      <c r="Z299" s="527"/>
      <c r="AA299" s="527"/>
    </row>
    <row r="300" spans="1:27" ht="15" customHeight="1">
      <c r="A300" s="1183"/>
      <c r="B300" s="1183"/>
      <c r="C300" s="1183"/>
      <c r="D300" s="1183"/>
      <c r="E300" s="1183"/>
      <c r="F300" s="1183"/>
      <c r="G300" s="1183"/>
      <c r="H300" s="1183"/>
      <c r="P300" s="558" t="s">
        <v>155</v>
      </c>
      <c r="Q300" s="562">
        <v>1500</v>
      </c>
      <c r="R300" s="562">
        <v>1500</v>
      </c>
      <c r="S300" s="562">
        <v>1900</v>
      </c>
      <c r="T300" s="575">
        <v>2000</v>
      </c>
      <c r="U300" s="573">
        <v>37</v>
      </c>
      <c r="V300" s="573">
        <v>84</v>
      </c>
      <c r="W300" s="573">
        <v>114</v>
      </c>
      <c r="X300" s="573">
        <v>141</v>
      </c>
      <c r="Y300" s="573">
        <v>375</v>
      </c>
      <c r="Z300" s="527"/>
      <c r="AA300" s="527"/>
    </row>
    <row r="301" spans="1:27">
      <c r="A301" s="1183"/>
      <c r="B301" s="1183"/>
      <c r="C301" s="1183"/>
      <c r="D301" s="1183"/>
      <c r="E301" s="1183"/>
      <c r="F301" s="1183"/>
      <c r="G301" s="1183"/>
      <c r="H301" s="1183"/>
      <c r="P301" s="558" t="s">
        <v>156</v>
      </c>
      <c r="Q301" s="562">
        <v>0</v>
      </c>
      <c r="R301" s="562">
        <v>0</v>
      </c>
      <c r="S301" s="562">
        <v>833</v>
      </c>
      <c r="T301" s="575">
        <v>833</v>
      </c>
      <c r="U301" s="573">
        <v>0</v>
      </c>
      <c r="V301" s="573">
        <v>0</v>
      </c>
      <c r="W301" s="573">
        <v>53</v>
      </c>
      <c r="X301" s="573">
        <v>97</v>
      </c>
      <c r="Y301" s="573">
        <v>150</v>
      </c>
      <c r="Z301" s="527"/>
      <c r="AA301" s="527"/>
    </row>
    <row r="302" spans="1:27">
      <c r="A302" s="1183"/>
      <c r="B302" s="1183"/>
      <c r="C302" s="1183"/>
      <c r="D302" s="1183"/>
      <c r="E302" s="1183"/>
      <c r="F302" s="1183"/>
      <c r="G302" s="1183"/>
      <c r="H302" s="1183"/>
      <c r="P302" s="558" t="s">
        <v>765</v>
      </c>
      <c r="Q302" s="562">
        <v>2000</v>
      </c>
      <c r="R302" s="562">
        <v>2000</v>
      </c>
      <c r="S302" s="562">
        <v>3000</v>
      </c>
      <c r="T302" s="575">
        <v>4500</v>
      </c>
      <c r="U302" s="573">
        <v>0</v>
      </c>
      <c r="V302" s="573">
        <v>113</v>
      </c>
      <c r="W302" s="573">
        <v>591</v>
      </c>
      <c r="X302" s="573">
        <v>1074</v>
      </c>
      <c r="Y302" s="573">
        <v>1777</v>
      </c>
      <c r="Z302" s="527"/>
      <c r="AA302" s="527"/>
    </row>
    <row r="303" spans="1:27">
      <c r="P303" s="558" t="s">
        <v>157</v>
      </c>
      <c r="Q303" s="562">
        <v>1286</v>
      </c>
      <c r="R303" s="562">
        <v>1286</v>
      </c>
      <c r="S303" s="562">
        <v>1286</v>
      </c>
      <c r="T303" s="575">
        <v>1500</v>
      </c>
      <c r="U303" s="573">
        <v>0</v>
      </c>
      <c r="V303" s="573">
        <v>43</v>
      </c>
      <c r="W303" s="573">
        <v>127</v>
      </c>
      <c r="X303" s="573">
        <v>264</v>
      </c>
      <c r="Y303" s="573">
        <v>434</v>
      </c>
      <c r="Z303" s="527"/>
      <c r="AA303" s="527"/>
    </row>
    <row r="304" spans="1:27">
      <c r="A304" s="1184" t="s">
        <v>860</v>
      </c>
      <c r="B304" s="1184"/>
      <c r="C304" s="1184"/>
      <c r="D304" s="1184"/>
      <c r="E304" s="1184"/>
      <c r="F304" s="1184"/>
      <c r="G304" s="1184"/>
      <c r="H304" s="1184"/>
      <c r="P304" s="558" t="s">
        <v>158</v>
      </c>
      <c r="Q304" s="562">
        <v>2609</v>
      </c>
      <c r="R304" s="562">
        <v>3043</v>
      </c>
      <c r="S304" s="562">
        <v>3478</v>
      </c>
      <c r="T304" s="575">
        <v>3913</v>
      </c>
      <c r="U304" s="573">
        <v>158</v>
      </c>
      <c r="V304" s="573">
        <v>444</v>
      </c>
      <c r="W304" s="573">
        <v>467</v>
      </c>
      <c r="X304" s="573">
        <v>565</v>
      </c>
      <c r="Y304" s="573">
        <v>1635</v>
      </c>
      <c r="Z304" s="527"/>
      <c r="AA304" s="527"/>
    </row>
    <row r="305" spans="1:27">
      <c r="A305" s="1184"/>
      <c r="B305" s="1184"/>
      <c r="C305" s="1184"/>
      <c r="D305" s="1184"/>
      <c r="E305" s="1184"/>
      <c r="F305" s="1184"/>
      <c r="G305" s="1184"/>
      <c r="H305" s="1184"/>
      <c r="P305" s="558" t="s">
        <v>159</v>
      </c>
      <c r="Q305" s="562">
        <v>1000</v>
      </c>
      <c r="R305" s="562">
        <v>1500</v>
      </c>
      <c r="S305" s="562">
        <v>1750</v>
      </c>
      <c r="T305" s="575">
        <v>2500</v>
      </c>
      <c r="U305" s="573">
        <v>54</v>
      </c>
      <c r="V305" s="573">
        <v>171</v>
      </c>
      <c r="W305" s="573">
        <v>192</v>
      </c>
      <c r="X305" s="573">
        <v>245</v>
      </c>
      <c r="Y305" s="573">
        <v>662</v>
      </c>
      <c r="Z305" s="527"/>
      <c r="AA305" s="527"/>
    </row>
    <row r="306" spans="1:27">
      <c r="A306" s="1184"/>
      <c r="B306" s="1184"/>
      <c r="C306" s="1184"/>
      <c r="D306" s="1184"/>
      <c r="E306" s="1184"/>
      <c r="F306" s="1184"/>
      <c r="G306" s="1184"/>
      <c r="H306" s="1184"/>
      <c r="P306" s="558" t="s">
        <v>853</v>
      </c>
      <c r="Q306" s="562">
        <v>120</v>
      </c>
      <c r="R306" s="562">
        <v>120</v>
      </c>
      <c r="S306" s="562">
        <v>200</v>
      </c>
      <c r="T306" s="575">
        <v>200</v>
      </c>
      <c r="U306" s="573">
        <v>10</v>
      </c>
      <c r="V306" s="573">
        <v>193</v>
      </c>
      <c r="W306" s="573">
        <v>211</v>
      </c>
      <c r="X306" s="573">
        <v>264</v>
      </c>
      <c r="Y306" s="573">
        <v>678</v>
      </c>
      <c r="Z306" s="527"/>
      <c r="AA306" s="527"/>
    </row>
    <row r="307" spans="1:27">
      <c r="P307" s="558" t="s">
        <v>106</v>
      </c>
      <c r="Q307" s="562">
        <v>667</v>
      </c>
      <c r="R307" s="562">
        <v>1000</v>
      </c>
      <c r="S307" s="562">
        <v>3000</v>
      </c>
      <c r="T307" s="575">
        <v>2400</v>
      </c>
      <c r="U307" s="573">
        <v>8</v>
      </c>
      <c r="V307" s="573">
        <v>48</v>
      </c>
      <c r="W307" s="573">
        <v>190</v>
      </c>
      <c r="X307" s="573">
        <v>301</v>
      </c>
      <c r="Y307" s="573">
        <v>547</v>
      </c>
      <c r="Z307" s="527"/>
      <c r="AA307" s="527"/>
    </row>
    <row r="308" spans="1:27" ht="15.75" thickBot="1">
      <c r="A308" s="101" t="s">
        <v>178</v>
      </c>
      <c r="B308" s="102"/>
      <c r="C308" s="102"/>
      <c r="D308" s="102"/>
      <c r="E308" s="102"/>
      <c r="P308" s="566"/>
      <c r="Q308" s="556"/>
      <c r="R308" s="556"/>
      <c r="S308" s="556"/>
      <c r="T308" s="557" t="s">
        <v>174</v>
      </c>
      <c r="U308" s="569">
        <v>360</v>
      </c>
      <c r="V308" s="569">
        <v>1440</v>
      </c>
      <c r="W308" s="569">
        <v>2469</v>
      </c>
      <c r="X308" s="569">
        <v>3511</v>
      </c>
      <c r="Y308" s="569">
        <v>7779</v>
      </c>
      <c r="Z308" s="527"/>
      <c r="AA308" s="527"/>
    </row>
    <row r="309" spans="1:27">
      <c r="A309" s="95" t="s">
        <v>169</v>
      </c>
      <c r="B309" s="95" t="s">
        <v>182</v>
      </c>
      <c r="C309" s="95"/>
      <c r="D309" s="95"/>
      <c r="E309" s="95"/>
      <c r="P309" s="527"/>
      <c r="Q309" s="527"/>
      <c r="R309" s="527"/>
      <c r="S309" s="527"/>
      <c r="T309" s="527"/>
      <c r="U309" s="527"/>
      <c r="V309" s="527"/>
      <c r="W309" s="527"/>
      <c r="X309" s="527"/>
      <c r="Y309" s="527"/>
      <c r="Z309" s="527"/>
      <c r="AA309" s="527"/>
    </row>
    <row r="310" spans="1:27">
      <c r="A310" s="95" t="s">
        <v>165</v>
      </c>
      <c r="B310" s="153">
        <v>0.13</v>
      </c>
      <c r="C310" s="95"/>
      <c r="D310" s="95"/>
      <c r="E310" s="95"/>
    </row>
    <row r="311" spans="1:27">
      <c r="A311" s="95" t="s">
        <v>166</v>
      </c>
      <c r="B311" s="153">
        <v>0.27</v>
      </c>
      <c r="C311" s="95"/>
      <c r="D311" s="95"/>
      <c r="E311" s="95"/>
    </row>
    <row r="312" spans="1:27">
      <c r="A312" s="95" t="s">
        <v>167</v>
      </c>
      <c r="B312" s="153">
        <v>0.3</v>
      </c>
      <c r="C312" s="95"/>
      <c r="D312" s="95"/>
      <c r="E312" s="95"/>
    </row>
    <row r="313" spans="1:27">
      <c r="A313" s="95" t="s">
        <v>168</v>
      </c>
      <c r="B313" s="153">
        <v>0.3</v>
      </c>
      <c r="C313" s="95"/>
      <c r="D313" s="95"/>
      <c r="E313" s="95"/>
    </row>
    <row r="314" spans="1:27">
      <c r="A314" s="87" t="s">
        <v>861</v>
      </c>
      <c r="B314" s="87"/>
      <c r="C314" s="87"/>
      <c r="D314" s="87"/>
      <c r="E314" s="87"/>
    </row>
    <row r="316" spans="1:27" ht="15" customHeight="1">
      <c r="A316" s="1162" t="s">
        <v>862</v>
      </c>
      <c r="B316" s="1159"/>
      <c r="C316" s="1159"/>
      <c r="D316" s="1159"/>
      <c r="E316" s="1159"/>
      <c r="F316" s="1159"/>
      <c r="G316" s="1159"/>
      <c r="H316" s="1159"/>
      <c r="I316" s="1159"/>
    </row>
    <row r="317" spans="1:27">
      <c r="A317" s="1159"/>
      <c r="B317" s="1159"/>
      <c r="C317" s="1159"/>
      <c r="D317" s="1159"/>
      <c r="E317" s="1159"/>
      <c r="F317" s="1159"/>
      <c r="G317" s="1159"/>
      <c r="H317" s="1159"/>
      <c r="I317" s="1159"/>
    </row>
    <row r="318" spans="1:27">
      <c r="A318" s="1159"/>
      <c r="B318" s="1159"/>
      <c r="C318" s="1159"/>
      <c r="D318" s="1159"/>
      <c r="E318" s="1159"/>
      <c r="F318" s="1159"/>
      <c r="G318" s="1159"/>
      <c r="H318" s="1159"/>
      <c r="I318" s="1159"/>
    </row>
    <row r="319" spans="1:27">
      <c r="A319" s="545"/>
      <c r="B319" s="545"/>
      <c r="C319" s="545"/>
      <c r="D319" s="545"/>
      <c r="E319" s="545"/>
      <c r="F319" s="545"/>
      <c r="G319" s="545"/>
      <c r="H319" s="545"/>
      <c r="I319" s="545"/>
      <c r="J319" s="527"/>
    </row>
    <row r="320" spans="1:27">
      <c r="A320" s="1163" t="s">
        <v>764</v>
      </c>
      <c r="B320" s="1164" t="s">
        <v>170</v>
      </c>
      <c r="C320" s="1165"/>
      <c r="D320" s="1165"/>
      <c r="E320" s="1166"/>
      <c r="F320" s="1164" t="s">
        <v>171</v>
      </c>
      <c r="G320" s="1165"/>
      <c r="H320" s="1165"/>
      <c r="I320" s="1165"/>
      <c r="J320" s="527"/>
    </row>
    <row r="321" spans="1:10" ht="15.75" thickBot="1">
      <c r="A321" s="1021"/>
      <c r="B321" s="556" t="s">
        <v>160</v>
      </c>
      <c r="C321" s="556" t="s">
        <v>161</v>
      </c>
      <c r="D321" s="556" t="s">
        <v>162</v>
      </c>
      <c r="E321" s="557">
        <v>10</v>
      </c>
      <c r="F321" s="556" t="s">
        <v>160</v>
      </c>
      <c r="G321" s="556" t="s">
        <v>161</v>
      </c>
      <c r="H321" s="556" t="s">
        <v>162</v>
      </c>
      <c r="I321" s="556">
        <v>10</v>
      </c>
      <c r="J321" s="527"/>
    </row>
    <row r="322" spans="1:10">
      <c r="A322" s="577" t="s">
        <v>179</v>
      </c>
      <c r="B322" s="564">
        <v>0</v>
      </c>
      <c r="C322" s="564">
        <v>0</v>
      </c>
      <c r="D322" s="564">
        <v>0</v>
      </c>
      <c r="E322" s="565">
        <v>0</v>
      </c>
      <c r="F322" s="562">
        <v>60</v>
      </c>
      <c r="G322" s="562">
        <v>60</v>
      </c>
      <c r="H322" s="562">
        <v>60</v>
      </c>
      <c r="I322" s="562">
        <v>100</v>
      </c>
      <c r="J322" s="527"/>
    </row>
    <row r="323" spans="1:10">
      <c r="A323" s="577" t="s">
        <v>180</v>
      </c>
      <c r="B323" s="564">
        <v>2</v>
      </c>
      <c r="C323" s="564">
        <v>3</v>
      </c>
      <c r="D323" s="564">
        <v>6.5</v>
      </c>
      <c r="E323" s="565">
        <v>10</v>
      </c>
      <c r="F323" s="562">
        <v>20</v>
      </c>
      <c r="G323" s="562">
        <v>20</v>
      </c>
      <c r="H323" s="562">
        <v>20</v>
      </c>
      <c r="I323" s="562">
        <v>20</v>
      </c>
      <c r="J323" s="527"/>
    </row>
    <row r="324" spans="1:10">
      <c r="A324" s="527"/>
      <c r="B324" s="527"/>
      <c r="C324" s="527"/>
      <c r="D324" s="527"/>
      <c r="E324" s="527"/>
      <c r="F324" s="527"/>
      <c r="G324" s="527"/>
      <c r="H324" s="527"/>
      <c r="I324" s="527"/>
      <c r="J324" s="527"/>
    </row>
    <row r="325" spans="1:10">
      <c r="A325" s="1163" t="s">
        <v>764</v>
      </c>
      <c r="B325" s="1164" t="s">
        <v>172</v>
      </c>
      <c r="C325" s="1165"/>
      <c r="D325" s="1165"/>
      <c r="E325" s="1166"/>
      <c r="F325" s="527"/>
      <c r="G325" s="527"/>
      <c r="H325" s="527"/>
      <c r="I325" s="527"/>
      <c r="J325" s="527"/>
    </row>
    <row r="326" spans="1:10" ht="15.75" thickBot="1">
      <c r="A326" s="1021"/>
      <c r="B326" s="556" t="s">
        <v>160</v>
      </c>
      <c r="C326" s="556" t="s">
        <v>161</v>
      </c>
      <c r="D326" s="556" t="s">
        <v>162</v>
      </c>
      <c r="E326" s="557">
        <v>10</v>
      </c>
      <c r="F326" s="527"/>
      <c r="G326" s="527"/>
      <c r="H326" s="527"/>
      <c r="I326" s="527"/>
      <c r="J326" s="527"/>
    </row>
    <row r="327" spans="1:10">
      <c r="A327" s="577" t="s">
        <v>179</v>
      </c>
      <c r="B327" s="562">
        <v>0</v>
      </c>
      <c r="C327" s="562">
        <v>0</v>
      </c>
      <c r="D327" s="562">
        <v>0</v>
      </c>
      <c r="E327" s="575">
        <v>0</v>
      </c>
      <c r="F327" s="527"/>
      <c r="G327" s="527"/>
      <c r="H327" s="527"/>
      <c r="I327" s="527"/>
      <c r="J327" s="527"/>
    </row>
    <row r="328" spans="1:10">
      <c r="A328" s="577" t="s">
        <v>180</v>
      </c>
      <c r="B328" s="562">
        <v>4580</v>
      </c>
      <c r="C328" s="562">
        <v>4250</v>
      </c>
      <c r="D328" s="562">
        <v>3750</v>
      </c>
      <c r="E328" s="575">
        <v>2500</v>
      </c>
      <c r="F328" s="527"/>
      <c r="G328" s="527"/>
      <c r="H328" s="527"/>
      <c r="I328" s="527"/>
      <c r="J328" s="527"/>
    </row>
    <row r="329" spans="1:10">
      <c r="A329" s="527"/>
      <c r="B329" s="527"/>
      <c r="C329" s="527"/>
      <c r="D329" s="527"/>
      <c r="E329" s="527"/>
      <c r="F329" s="527"/>
      <c r="G329" s="527"/>
      <c r="H329" s="527"/>
      <c r="I329" s="527"/>
      <c r="J329" s="527"/>
    </row>
    <row r="330" spans="1:10">
      <c r="A330" s="527" t="s">
        <v>181</v>
      </c>
      <c r="B330" s="527"/>
      <c r="C330" s="527"/>
      <c r="D330" s="527"/>
      <c r="E330" s="527"/>
      <c r="F330" s="527"/>
      <c r="G330" s="527"/>
      <c r="H330" s="527"/>
      <c r="I330" s="527"/>
      <c r="J330" s="527"/>
    </row>
    <row r="331" spans="1:10">
      <c r="A331" s="544" t="s">
        <v>811</v>
      </c>
      <c r="B331" s="13"/>
      <c r="C331" s="13"/>
      <c r="D331" s="13"/>
      <c r="E331" s="13"/>
      <c r="F331" s="13"/>
      <c r="G331" s="13"/>
      <c r="H331" s="13"/>
    </row>
    <row r="332" spans="1:10" ht="15.75" thickBot="1">
      <c r="A332" s="13"/>
      <c r="B332" s="13"/>
      <c r="C332" s="13"/>
      <c r="D332" s="1158" t="s">
        <v>177</v>
      </c>
      <c r="E332" s="1158"/>
      <c r="F332" s="1158"/>
      <c r="G332" s="1158"/>
      <c r="H332" s="13"/>
    </row>
    <row r="333" spans="1:10" ht="15.75" thickBot="1">
      <c r="A333" s="1175" t="s">
        <v>764</v>
      </c>
      <c r="B333" s="1148"/>
      <c r="C333" s="1148"/>
      <c r="D333" s="120" t="s">
        <v>160</v>
      </c>
      <c r="E333" s="121" t="s">
        <v>161</v>
      </c>
      <c r="F333" s="121" t="s">
        <v>162</v>
      </c>
      <c r="G333" s="121">
        <v>10</v>
      </c>
      <c r="H333" s="122" t="s">
        <v>154</v>
      </c>
    </row>
    <row r="334" spans="1:10">
      <c r="A334" s="1035" t="s">
        <v>850</v>
      </c>
      <c r="B334" s="1035"/>
      <c r="C334" s="1035"/>
      <c r="D334" s="125">
        <f t="shared" ref="D334:G335" si="15">K$272*B322*F322*B327/10^9</f>
        <v>0</v>
      </c>
      <c r="E334" s="126">
        <f t="shared" si="15"/>
        <v>0</v>
      </c>
      <c r="F334" s="126">
        <f t="shared" si="15"/>
        <v>0</v>
      </c>
      <c r="G334" s="126">
        <f t="shared" si="15"/>
        <v>0</v>
      </c>
      <c r="H334" s="127">
        <f>SUM(D334:G334)</f>
        <v>0</v>
      </c>
    </row>
    <row r="335" spans="1:10">
      <c r="A335" s="1035" t="s">
        <v>851</v>
      </c>
      <c r="B335" s="1035"/>
      <c r="C335" s="1035"/>
      <c r="D335" s="130">
        <f t="shared" si="15"/>
        <v>84.017620287456467</v>
      </c>
      <c r="E335" s="131">
        <f t="shared" si="15"/>
        <v>242.88768713433737</v>
      </c>
      <c r="F335" s="131">
        <f t="shared" si="15"/>
        <v>515.93789750757924</v>
      </c>
      <c r="G335" s="131">
        <f t="shared" si="15"/>
        <v>529.16707436674801</v>
      </c>
      <c r="H335" s="132">
        <f t="shared" ref="H335:H345" si="16">SUM(D335:G335)</f>
        <v>1372.0102792961211</v>
      </c>
    </row>
    <row r="336" spans="1:10">
      <c r="A336" s="1035" t="s">
        <v>852</v>
      </c>
      <c r="B336" s="1035"/>
      <c r="C336" s="1035"/>
      <c r="D336" s="130">
        <f t="shared" ref="D336:D344" si="17">K$272*Q284*U284*Q299/10^9</f>
        <v>10.969986229672264</v>
      </c>
      <c r="E336" s="131">
        <f t="shared" ref="E336:E344" si="18">L$272*R284*V284*R299/10^9</f>
        <v>39.03919507799197</v>
      </c>
      <c r="F336" s="131">
        <f t="shared" ref="F336:F344" si="19">M$272*S284*W284*S299/10^9</f>
        <v>88.968860213281332</v>
      </c>
      <c r="G336" s="131">
        <f t="shared" ref="G336:G344" si="20">N$272*T284*X284*T299/10^9</f>
        <v>107.59024956024719</v>
      </c>
      <c r="H336" s="132">
        <f t="shared" si="16"/>
        <v>246.56829108119274</v>
      </c>
    </row>
    <row r="337" spans="1:15">
      <c r="A337" s="1035" t="s">
        <v>155</v>
      </c>
      <c r="B337" s="1035"/>
      <c r="C337" s="1035"/>
      <c r="D337" s="130">
        <f t="shared" si="17"/>
        <v>44.714617783990207</v>
      </c>
      <c r="E337" s="131">
        <f t="shared" si="18"/>
        <v>100.01257705531538</v>
      </c>
      <c r="F337" s="131">
        <f t="shared" si="19"/>
        <v>170.92096502045959</v>
      </c>
      <c r="G337" s="131">
        <f t="shared" si="20"/>
        <v>237.06684931630309</v>
      </c>
      <c r="H337" s="132">
        <f t="shared" si="16"/>
        <v>552.71500917606829</v>
      </c>
    </row>
    <row r="338" spans="1:15">
      <c r="A338" s="1035" t="s">
        <v>156</v>
      </c>
      <c r="B338" s="1035"/>
      <c r="C338" s="1035"/>
      <c r="D338" s="130">
        <f t="shared" si="17"/>
        <v>0</v>
      </c>
      <c r="E338" s="131">
        <f t="shared" si="18"/>
        <v>0</v>
      </c>
      <c r="F338" s="131">
        <f t="shared" si="19"/>
        <v>79.343311130550205</v>
      </c>
      <c r="G338" s="131">
        <f t="shared" si="20"/>
        <v>163.97617633647039</v>
      </c>
      <c r="H338" s="132">
        <f t="shared" si="16"/>
        <v>243.31948746702059</v>
      </c>
    </row>
    <row r="339" spans="1:15">
      <c r="A339" s="1035" t="s">
        <v>765</v>
      </c>
      <c r="B339" s="1035"/>
      <c r="C339" s="1035"/>
      <c r="D339" s="130">
        <f t="shared" si="17"/>
        <v>0</v>
      </c>
      <c r="E339" s="131">
        <f t="shared" si="18"/>
        <v>133.35010274042051</v>
      </c>
      <c r="F339" s="131">
        <f t="shared" si="19"/>
        <v>889.00068493613674</v>
      </c>
      <c r="G339" s="131">
        <f t="shared" si="20"/>
        <v>1809.7513943342781</v>
      </c>
      <c r="H339" s="132">
        <f t="shared" si="16"/>
        <v>2832.1021820108353</v>
      </c>
    </row>
    <row r="340" spans="1:15">
      <c r="A340" s="1035" t="s">
        <v>157</v>
      </c>
      <c r="B340" s="1035"/>
      <c r="C340" s="1035"/>
      <c r="D340" s="130">
        <f t="shared" si="17"/>
        <v>0</v>
      </c>
      <c r="E340" s="131">
        <f t="shared" si="18"/>
        <v>51.446469637254225</v>
      </c>
      <c r="F340" s="131">
        <f t="shared" si="19"/>
        <v>190.54248013797863</v>
      </c>
      <c r="G340" s="131">
        <f t="shared" si="20"/>
        <v>444.50034246806837</v>
      </c>
      <c r="H340" s="132">
        <f t="shared" si="16"/>
        <v>686.48929224330118</v>
      </c>
    </row>
    <row r="341" spans="1:15">
      <c r="A341" s="1035" t="s">
        <v>158</v>
      </c>
      <c r="B341" s="1035"/>
      <c r="C341" s="1035"/>
      <c r="D341" s="130">
        <f t="shared" si="17"/>
        <v>192.63928703125436</v>
      </c>
      <c r="E341" s="131">
        <f t="shared" si="18"/>
        <v>526.65013351088862</v>
      </c>
      <c r="F341" s="131">
        <f t="shared" si="19"/>
        <v>702.68116971843449</v>
      </c>
      <c r="G341" s="131">
        <f t="shared" si="20"/>
        <v>952.49015051865911</v>
      </c>
      <c r="H341" s="132">
        <f t="shared" si="16"/>
        <v>2374.4607407792364</v>
      </c>
    </row>
    <row r="342" spans="1:15">
      <c r="A342" s="1035" t="s">
        <v>159</v>
      </c>
      <c r="B342" s="1035"/>
      <c r="C342" s="1035"/>
      <c r="D342" s="130">
        <f t="shared" si="17"/>
        <v>65.12282795206778</v>
      </c>
      <c r="E342" s="131">
        <f t="shared" si="18"/>
        <v>202.88265631221117</v>
      </c>
      <c r="F342" s="131">
        <f t="shared" si="19"/>
        <v>288.92522260424442</v>
      </c>
      <c r="G342" s="131">
        <f t="shared" si="20"/>
        <v>412.75031800606348</v>
      </c>
      <c r="H342" s="132">
        <f t="shared" si="16"/>
        <v>969.68102487458691</v>
      </c>
    </row>
    <row r="343" spans="1:15">
      <c r="A343" s="1035" t="s">
        <v>853</v>
      </c>
      <c r="B343" s="1035"/>
      <c r="C343" s="1035"/>
      <c r="D343" s="130">
        <f t="shared" si="17"/>
        <v>12.382509540181902</v>
      </c>
      <c r="E343" s="131">
        <f t="shared" si="18"/>
        <v>228.60017612643517</v>
      </c>
      <c r="F343" s="131">
        <f t="shared" si="19"/>
        <v>317.50024462004882</v>
      </c>
      <c r="G343" s="131">
        <f t="shared" si="20"/>
        <v>444.50034246806831</v>
      </c>
      <c r="H343" s="132">
        <f t="shared" si="16"/>
        <v>1002.9832727547342</v>
      </c>
    </row>
    <row r="344" spans="1:15">
      <c r="A344" s="1035" t="s">
        <v>106</v>
      </c>
      <c r="B344" s="1035"/>
      <c r="C344" s="1035"/>
      <c r="D344" s="130">
        <f t="shared" si="17"/>
        <v>9.1768154036681437</v>
      </c>
      <c r="E344" s="131">
        <f t="shared" si="18"/>
        <v>57.150044031608786</v>
      </c>
      <c r="F344" s="131">
        <f t="shared" si="19"/>
        <v>285.75022015804393</v>
      </c>
      <c r="G344" s="131">
        <f t="shared" si="20"/>
        <v>508.00039139207809</v>
      </c>
      <c r="H344" s="132">
        <f t="shared" si="16"/>
        <v>860.07747098539892</v>
      </c>
    </row>
    <row r="345" spans="1:15" ht="15.75" thickBot="1">
      <c r="A345" s="1027" t="s">
        <v>154</v>
      </c>
      <c r="B345" s="1027"/>
      <c r="C345" s="1027"/>
      <c r="D345" s="140">
        <f>SUM(D334:D344)</f>
        <v>419.02366422829107</v>
      </c>
      <c r="E345" s="141">
        <f>SUM(E334:E344)</f>
        <v>1582.0190416264631</v>
      </c>
      <c r="F345" s="141">
        <f>SUM(F334:F344)</f>
        <v>3529.5710560467569</v>
      </c>
      <c r="G345" s="141">
        <f>SUM(G333:G344)</f>
        <v>5619.7932887669849</v>
      </c>
      <c r="H345" s="142">
        <f t="shared" si="16"/>
        <v>11150.407050668497</v>
      </c>
    </row>
    <row r="346" spans="1:15" ht="15.75" thickBot="1">
      <c r="A346" s="154"/>
      <c r="B346" s="154"/>
      <c r="C346" s="154"/>
      <c r="D346" s="155"/>
      <c r="E346" s="155"/>
      <c r="F346" s="155"/>
      <c r="G346" s="155"/>
      <c r="H346" s="155"/>
    </row>
    <row r="347" spans="1:15" ht="15.75" thickBot="1">
      <c r="A347" s="120"/>
      <c r="B347" s="121" t="s">
        <v>513</v>
      </c>
      <c r="C347" s="122"/>
      <c r="D347" s="156" t="str">
        <f>D333</f>
        <v>0–2</v>
      </c>
      <c r="E347" s="156" t="str">
        <f>E333</f>
        <v>2–5</v>
      </c>
      <c r="F347" s="156" t="str">
        <f>F333</f>
        <v>5–10</v>
      </c>
      <c r="G347" s="156">
        <f>G333</f>
        <v>10</v>
      </c>
      <c r="H347" s="157" t="str">
        <f>H333</f>
        <v>Total</v>
      </c>
    </row>
    <row r="348" spans="1:15">
      <c r="A348" s="158"/>
      <c r="B348" s="159" t="s">
        <v>511</v>
      </c>
      <c r="C348" s="160"/>
      <c r="D348" s="131">
        <f>D273</f>
        <v>438.10190114946022</v>
      </c>
      <c r="E348" s="131">
        <f>E273</f>
        <v>1705.8441370282824</v>
      </c>
      <c r="F348" s="131">
        <f>F273</f>
        <v>3714.7795320751193</v>
      </c>
      <c r="G348" s="131">
        <f>G273</f>
        <v>5926.7101918996977</v>
      </c>
      <c r="H348" s="161">
        <f>H273</f>
        <v>11785.43576215256</v>
      </c>
    </row>
    <row r="349" spans="1:15">
      <c r="A349" s="158"/>
      <c r="B349" s="159" t="s">
        <v>510</v>
      </c>
      <c r="C349" s="160"/>
      <c r="D349" s="131">
        <f>D345</f>
        <v>419.02366422829107</v>
      </c>
      <c r="E349" s="131">
        <f>E345</f>
        <v>1582.0190416264631</v>
      </c>
      <c r="F349" s="131">
        <f>F345</f>
        <v>3529.5710560467569</v>
      </c>
      <c r="G349" s="131">
        <f>G345</f>
        <v>5619.7932887669849</v>
      </c>
      <c r="H349" s="161">
        <f>H345</f>
        <v>11150.407050668497</v>
      </c>
    </row>
    <row r="350" spans="1:15" ht="15.75" thickBot="1">
      <c r="A350" s="162"/>
      <c r="B350" s="163" t="s">
        <v>512</v>
      </c>
      <c r="C350" s="164"/>
      <c r="D350" s="165">
        <f>(D349-D348)/D349</f>
        <v>-4.5530213565158004E-2</v>
      </c>
      <c r="E350" s="165">
        <f>(E349-E348)/E349</f>
        <v>-7.8270293936864049E-2</v>
      </c>
      <c r="F350" s="165">
        <f>(F349-F348)/F349</f>
        <v>-5.2473366618039516E-2</v>
      </c>
      <c r="G350" s="165">
        <f>(G349-G348)/G349</f>
        <v>-5.461355736094204E-2</v>
      </c>
      <c r="H350" s="166">
        <f>(H349-H348)/H349</f>
        <v>-5.6951168562585468E-2</v>
      </c>
      <c r="J350" s="167"/>
      <c r="K350" s="167"/>
      <c r="L350" s="167"/>
      <c r="M350" s="167"/>
      <c r="N350" s="167"/>
      <c r="O350" s="167"/>
    </row>
    <row r="351" spans="1:15">
      <c r="A351" s="154"/>
      <c r="B351" s="154"/>
      <c r="C351" s="154"/>
      <c r="D351" s="155"/>
      <c r="E351" s="155"/>
      <c r="F351" s="155"/>
      <c r="G351" s="155"/>
      <c r="H351" s="155"/>
    </row>
    <row r="352" spans="1:15" ht="15" customHeight="1">
      <c r="A352" s="1084" t="s">
        <v>863</v>
      </c>
      <c r="B352" s="1084"/>
      <c r="C352" s="1084"/>
      <c r="D352" s="1084"/>
      <c r="E352" s="1084"/>
      <c r="F352" s="1084"/>
      <c r="G352" s="1084"/>
      <c r="H352" s="1084"/>
      <c r="I352" s="1084"/>
    </row>
    <row r="353" spans="1:10">
      <c r="A353" s="1084"/>
      <c r="B353" s="1084"/>
      <c r="C353" s="1084"/>
      <c r="D353" s="1084"/>
      <c r="E353" s="1084"/>
      <c r="F353" s="1084"/>
      <c r="G353" s="1084"/>
      <c r="H353" s="1084"/>
      <c r="I353" s="1084"/>
    </row>
    <row r="354" spans="1:10">
      <c r="A354" s="1084"/>
      <c r="B354" s="1084"/>
      <c r="C354" s="1084"/>
      <c r="D354" s="1084"/>
      <c r="E354" s="1084"/>
      <c r="F354" s="1084"/>
      <c r="G354" s="1084"/>
      <c r="H354" s="1084"/>
      <c r="I354" s="1084"/>
    </row>
    <row r="355" spans="1:10" ht="26.25" customHeight="1">
      <c r="A355" s="1085"/>
      <c r="B355" s="1085"/>
      <c r="C355" s="1085"/>
      <c r="D355" s="1085"/>
      <c r="E355" s="1085"/>
      <c r="F355" s="1085"/>
      <c r="G355" s="1085"/>
      <c r="H355" s="1085"/>
      <c r="I355" s="1085"/>
    </row>
    <row r="357" spans="1:10">
      <c r="A357" s="1013" t="s">
        <v>1000</v>
      </c>
      <c r="B357" s="1159"/>
      <c r="C357" s="1159"/>
      <c r="D357" s="1159"/>
      <c r="E357" s="1159"/>
      <c r="F357" s="1159"/>
      <c r="G357" s="1159"/>
      <c r="H357" s="1159"/>
      <c r="I357" s="1159"/>
    </row>
    <row r="358" spans="1:10">
      <c r="A358" s="1159"/>
      <c r="B358" s="1159"/>
      <c r="C358" s="1159"/>
      <c r="D358" s="1159"/>
      <c r="E358" s="1159"/>
      <c r="F358" s="1159"/>
      <c r="G358" s="1159"/>
      <c r="H358" s="1159"/>
      <c r="I358" s="1159"/>
    </row>
    <row r="359" spans="1:10">
      <c r="A359" s="1159"/>
      <c r="B359" s="1159"/>
      <c r="C359" s="1159"/>
      <c r="D359" s="1159"/>
      <c r="E359" s="1159"/>
      <c r="F359" s="1159"/>
      <c r="G359" s="1159"/>
      <c r="H359" s="1159"/>
      <c r="I359" s="1159"/>
    </row>
    <row r="360" spans="1:10" ht="15.75" thickBot="1">
      <c r="A360" s="585" t="s">
        <v>818</v>
      </c>
      <c r="B360" s="529"/>
      <c r="C360" s="529"/>
      <c r="D360" s="529"/>
      <c r="E360" s="529"/>
      <c r="F360" s="529"/>
      <c r="G360" s="529"/>
      <c r="H360" s="529"/>
      <c r="I360" s="529"/>
      <c r="J360" s="527"/>
    </row>
    <row r="361" spans="1:10">
      <c r="A361" s="1088" t="s">
        <v>183</v>
      </c>
      <c r="B361" s="1160" t="s">
        <v>864</v>
      </c>
      <c r="C361" s="549" t="s">
        <v>184</v>
      </c>
      <c r="D361" s="1160" t="s">
        <v>866</v>
      </c>
      <c r="E361" s="1087"/>
      <c r="F361" s="1087"/>
      <c r="G361" s="1087"/>
      <c r="H361" s="1087"/>
      <c r="I361" s="529"/>
      <c r="J361" s="527"/>
    </row>
    <row r="362" spans="1:10" ht="18" thickBot="1">
      <c r="A362" s="1091"/>
      <c r="B362" s="1161"/>
      <c r="C362" s="550" t="s">
        <v>865</v>
      </c>
      <c r="D362" s="1161"/>
      <c r="E362" s="1090"/>
      <c r="F362" s="1090"/>
      <c r="G362" s="1090"/>
      <c r="H362" s="1090"/>
      <c r="I362" s="529"/>
      <c r="J362" s="527"/>
    </row>
    <row r="363" spans="1:10">
      <c r="A363" s="1169"/>
      <c r="B363" s="1160"/>
      <c r="C363" s="1088"/>
      <c r="D363" s="1160" t="s">
        <v>185</v>
      </c>
      <c r="E363" s="1087" t="s">
        <v>867</v>
      </c>
      <c r="F363" s="1087" t="s">
        <v>186</v>
      </c>
      <c r="G363" s="1087" t="s">
        <v>187</v>
      </c>
      <c r="H363" s="1087" t="s">
        <v>188</v>
      </c>
      <c r="I363" s="529"/>
      <c r="J363" s="527"/>
    </row>
    <row r="364" spans="1:10">
      <c r="A364" s="1170"/>
      <c r="B364" s="1171"/>
      <c r="C364" s="1098"/>
      <c r="D364" s="1171"/>
      <c r="E364" s="1126"/>
      <c r="F364" s="1126"/>
      <c r="G364" s="1126"/>
      <c r="H364" s="1126"/>
      <c r="I364" s="529"/>
      <c r="J364" s="527"/>
    </row>
    <row r="365" spans="1:10">
      <c r="A365" s="578" t="s">
        <v>189</v>
      </c>
      <c r="B365" s="579">
        <v>0.12</v>
      </c>
      <c r="C365" s="548">
        <v>55</v>
      </c>
      <c r="D365" s="546">
        <v>85</v>
      </c>
      <c r="E365" s="546">
        <v>10</v>
      </c>
      <c r="F365" s="546">
        <v>15</v>
      </c>
      <c r="G365" s="546">
        <v>85</v>
      </c>
      <c r="H365" s="546">
        <v>100</v>
      </c>
      <c r="I365" s="529"/>
      <c r="J365" s="527"/>
    </row>
    <row r="366" spans="1:10">
      <c r="A366" s="578" t="s">
        <v>868</v>
      </c>
      <c r="B366" s="579">
        <v>0.1</v>
      </c>
      <c r="C366" s="548">
        <v>40</v>
      </c>
      <c r="D366" s="546">
        <v>100</v>
      </c>
      <c r="E366" s="546">
        <v>60</v>
      </c>
      <c r="F366" s="546">
        <v>20</v>
      </c>
      <c r="G366" s="546">
        <v>100</v>
      </c>
      <c r="H366" s="546">
        <v>100</v>
      </c>
      <c r="I366" s="529"/>
      <c r="J366" s="527"/>
    </row>
    <row r="367" spans="1:10">
      <c r="A367" s="578" t="s">
        <v>190</v>
      </c>
      <c r="B367" s="579">
        <v>0.08</v>
      </c>
      <c r="C367" s="548">
        <v>35</v>
      </c>
      <c r="D367" s="546">
        <v>100</v>
      </c>
      <c r="E367" s="546">
        <v>50</v>
      </c>
      <c r="F367" s="546">
        <v>30</v>
      </c>
      <c r="G367" s="546">
        <v>100</v>
      </c>
      <c r="H367" s="546">
        <v>25</v>
      </c>
      <c r="I367" s="529"/>
      <c r="J367" s="527"/>
    </row>
    <row r="368" spans="1:10">
      <c r="A368" s="578" t="s">
        <v>191</v>
      </c>
      <c r="B368" s="579">
        <v>0.12</v>
      </c>
      <c r="C368" s="548">
        <v>25</v>
      </c>
      <c r="D368" s="546">
        <v>100</v>
      </c>
      <c r="E368" s="546">
        <v>30</v>
      </c>
      <c r="F368" s="546">
        <v>0</v>
      </c>
      <c r="G368" s="546">
        <v>100</v>
      </c>
      <c r="H368" s="546">
        <v>25</v>
      </c>
      <c r="I368" s="529"/>
      <c r="J368" s="527"/>
    </row>
    <row r="369" spans="1:10">
      <c r="A369" s="578" t="s">
        <v>192</v>
      </c>
      <c r="B369" s="579">
        <v>0.1</v>
      </c>
      <c r="C369" s="548">
        <v>350</v>
      </c>
      <c r="D369" s="546">
        <v>90</v>
      </c>
      <c r="E369" s="546">
        <v>25</v>
      </c>
      <c r="F369" s="546">
        <v>10</v>
      </c>
      <c r="G369" s="546">
        <v>25</v>
      </c>
      <c r="H369" s="546">
        <v>25</v>
      </c>
      <c r="I369" s="529"/>
      <c r="J369" s="527"/>
    </row>
    <row r="370" spans="1:10" ht="15.75" thickBot="1">
      <c r="A370" s="580" t="s">
        <v>193</v>
      </c>
      <c r="B370" s="581">
        <v>0.10199999999999999</v>
      </c>
      <c r="C370" s="550">
        <v>505</v>
      </c>
      <c r="D370" s="547"/>
      <c r="E370" s="547"/>
      <c r="F370" s="547"/>
      <c r="G370" s="547"/>
      <c r="H370" s="547"/>
      <c r="I370" s="529"/>
      <c r="J370" s="527"/>
    </row>
    <row r="371" spans="1:10">
      <c r="A371" s="529"/>
      <c r="B371" s="529"/>
      <c r="C371" s="529"/>
      <c r="D371" s="529"/>
      <c r="E371" s="529"/>
      <c r="F371" s="529"/>
      <c r="G371" s="529"/>
      <c r="H371" s="529"/>
      <c r="I371" s="529"/>
      <c r="J371" s="527"/>
    </row>
    <row r="372" spans="1:10" ht="15.75" thickBot="1">
      <c r="A372" s="585" t="s">
        <v>819</v>
      </c>
      <c r="B372" s="529"/>
      <c r="C372" s="529"/>
      <c r="D372" s="529"/>
      <c r="E372" s="529"/>
      <c r="F372" s="529"/>
      <c r="G372" s="529"/>
      <c r="H372" s="529"/>
      <c r="I372" s="529"/>
      <c r="J372" s="527"/>
    </row>
    <row r="373" spans="1:10" ht="30.75" thickBot="1">
      <c r="A373" s="582" t="s">
        <v>820</v>
      </c>
      <c r="B373" s="583" t="s">
        <v>101</v>
      </c>
      <c r="C373" s="583" t="s">
        <v>765</v>
      </c>
      <c r="D373" s="583" t="s">
        <v>194</v>
      </c>
      <c r="E373" s="583" t="s">
        <v>102</v>
      </c>
      <c r="F373" s="583" t="s">
        <v>195</v>
      </c>
      <c r="G373" s="583" t="s">
        <v>154</v>
      </c>
      <c r="H373" s="529"/>
      <c r="I373" s="529"/>
      <c r="J373" s="527"/>
    </row>
    <row r="374" spans="1:10">
      <c r="A374" s="578" t="s">
        <v>189</v>
      </c>
      <c r="B374" s="546">
        <v>121880</v>
      </c>
      <c r="C374" s="546">
        <v>1925</v>
      </c>
      <c r="D374" s="546">
        <v>825</v>
      </c>
      <c r="E374" s="546">
        <v>55440</v>
      </c>
      <c r="F374" s="546">
        <v>3025</v>
      </c>
      <c r="G374" s="546">
        <v>183095</v>
      </c>
      <c r="H374" s="529"/>
      <c r="I374" s="529"/>
      <c r="J374" s="527"/>
    </row>
    <row r="375" spans="1:10">
      <c r="A375" s="578" t="s">
        <v>868</v>
      </c>
      <c r="B375" s="546">
        <v>660000</v>
      </c>
      <c r="C375" s="546">
        <v>70000</v>
      </c>
      <c r="D375" s="546">
        <v>18000</v>
      </c>
      <c r="E375" s="546">
        <v>403200</v>
      </c>
      <c r="F375" s="546">
        <v>50000</v>
      </c>
      <c r="G375" s="546">
        <v>1201200</v>
      </c>
      <c r="H375" s="529"/>
      <c r="I375" s="529"/>
      <c r="J375" s="527"/>
    </row>
    <row r="376" spans="1:10">
      <c r="A376" s="578" t="s">
        <v>190</v>
      </c>
      <c r="B376" s="546">
        <v>154000</v>
      </c>
      <c r="C376" s="546">
        <v>177188</v>
      </c>
      <c r="D376" s="546">
        <v>788</v>
      </c>
      <c r="E376" s="546">
        <v>176400</v>
      </c>
      <c r="F376" s="546">
        <v>5250</v>
      </c>
      <c r="G376" s="546">
        <v>513626</v>
      </c>
      <c r="H376" s="529"/>
      <c r="I376" s="529"/>
      <c r="J376" s="527"/>
    </row>
    <row r="377" spans="1:10">
      <c r="A377" s="578" t="s">
        <v>191</v>
      </c>
      <c r="B377" s="546">
        <v>93750</v>
      </c>
      <c r="C377" s="546">
        <v>5625</v>
      </c>
      <c r="D377" s="546">
        <v>274</v>
      </c>
      <c r="E377" s="546">
        <v>50400</v>
      </c>
      <c r="F377" s="546">
        <v>3125</v>
      </c>
      <c r="G377" s="546">
        <v>153174</v>
      </c>
      <c r="H377" s="529"/>
      <c r="I377" s="529"/>
      <c r="J377" s="527"/>
    </row>
    <row r="378" spans="1:10">
      <c r="A378" s="578" t="s">
        <v>192</v>
      </c>
      <c r="B378" s="546">
        <v>1470000</v>
      </c>
      <c r="C378" s="546">
        <v>382813</v>
      </c>
      <c r="D378" s="546">
        <v>7875</v>
      </c>
      <c r="E378" s="546">
        <v>352800</v>
      </c>
      <c r="F378" s="546">
        <v>70000</v>
      </c>
      <c r="G378" s="546">
        <v>2283488</v>
      </c>
      <c r="H378" s="529"/>
      <c r="I378" s="529"/>
      <c r="J378" s="527"/>
    </row>
    <row r="379" spans="1:10">
      <c r="A379" s="578" t="s">
        <v>193</v>
      </c>
      <c r="B379" s="546">
        <v>2499630</v>
      </c>
      <c r="C379" s="546">
        <v>637551</v>
      </c>
      <c r="D379" s="546">
        <v>27762</v>
      </c>
      <c r="E379" s="546">
        <v>1038240</v>
      </c>
      <c r="F379" s="546">
        <v>131400</v>
      </c>
      <c r="G379" s="546">
        <v>4334583</v>
      </c>
      <c r="H379" s="529"/>
      <c r="I379" s="529"/>
      <c r="J379" s="527"/>
    </row>
    <row r="380" spans="1:10" ht="15.75" thickBot="1">
      <c r="A380" s="580" t="s">
        <v>196</v>
      </c>
      <c r="B380" s="584">
        <v>0.57999999999999996</v>
      </c>
      <c r="C380" s="584">
        <v>0.15</v>
      </c>
      <c r="D380" s="584">
        <v>0.01</v>
      </c>
      <c r="E380" s="584">
        <v>0.24</v>
      </c>
      <c r="F380" s="584">
        <v>0.03</v>
      </c>
      <c r="G380" s="584">
        <v>1</v>
      </c>
      <c r="H380" s="529"/>
      <c r="I380" s="529"/>
      <c r="J380" s="527"/>
    </row>
    <row r="381" spans="1:10">
      <c r="A381" s="529"/>
      <c r="B381" s="529"/>
      <c r="C381" s="529"/>
      <c r="D381" s="529"/>
      <c r="E381" s="529"/>
      <c r="F381" s="529"/>
      <c r="G381" s="529"/>
      <c r="H381" s="529"/>
      <c r="I381" s="529"/>
      <c r="J381" s="527"/>
    </row>
    <row r="382" spans="1:10">
      <c r="A382" s="527"/>
      <c r="B382" s="527"/>
      <c r="C382" s="527"/>
      <c r="D382" s="527"/>
      <c r="E382" s="527"/>
      <c r="F382" s="527"/>
      <c r="G382" s="527"/>
      <c r="H382" s="527"/>
      <c r="I382" s="527"/>
      <c r="J382" s="527"/>
    </row>
    <row r="383" spans="1:10">
      <c r="A383" s="49" t="s">
        <v>197</v>
      </c>
    </row>
    <row r="384" spans="1:10">
      <c r="C384" s="49" t="s">
        <v>198</v>
      </c>
    </row>
    <row r="385" spans="1:9">
      <c r="A385" s="49" t="s">
        <v>189</v>
      </c>
      <c r="C385" s="168">
        <f>C365*(1+B365)^10</f>
        <v>170.82165145893163</v>
      </c>
    </row>
    <row r="386" spans="1:9">
      <c r="A386" s="527" t="s">
        <v>868</v>
      </c>
      <c r="C386" s="168">
        <f>C366*(1+B366)^10</f>
        <v>103.74969840400007</v>
      </c>
    </row>
    <row r="387" spans="1:9">
      <c r="A387" s="49" t="s">
        <v>190</v>
      </c>
      <c r="C387" s="168">
        <f>C367*(1+B367)^10</f>
        <v>75.562374904547568</v>
      </c>
    </row>
    <row r="388" spans="1:9">
      <c r="A388" s="49" t="s">
        <v>191</v>
      </c>
      <c r="C388" s="168">
        <f>C368*(1+B368)^10</f>
        <v>77.646205208605281</v>
      </c>
    </row>
    <row r="389" spans="1:9">
      <c r="A389" s="49" t="s">
        <v>192</v>
      </c>
      <c r="C389" s="168">
        <f>C369*(1+B369)^10</f>
        <v>907.80986103500061</v>
      </c>
    </row>
    <row r="390" spans="1:9">
      <c r="C390" s="168"/>
    </row>
    <row r="391" spans="1:9" ht="15.75" thickBot="1">
      <c r="A391" s="49" t="s">
        <v>199</v>
      </c>
    </row>
    <row r="392" spans="1:9" ht="45.75" thickBot="1">
      <c r="A392" s="586" t="s">
        <v>820</v>
      </c>
      <c r="B392" s="587" t="s">
        <v>101</v>
      </c>
      <c r="C392" s="587" t="s">
        <v>765</v>
      </c>
      <c r="D392" s="587" t="s">
        <v>194</v>
      </c>
      <c r="E392" s="587" t="s">
        <v>102</v>
      </c>
      <c r="F392" s="587" t="s">
        <v>195</v>
      </c>
      <c r="G392" s="587" t="s">
        <v>154</v>
      </c>
      <c r="H392" s="587" t="s">
        <v>200</v>
      </c>
      <c r="I392" s="527"/>
    </row>
    <row r="393" spans="1:9" ht="14.25" customHeight="1">
      <c r="A393" s="588" t="s">
        <v>189</v>
      </c>
      <c r="B393" s="589">
        <f>B374*($C385/$C365)</f>
        <v>378540.77963299252</v>
      </c>
      <c r="C393" s="589">
        <f>C374*($C385/$C365)</f>
        <v>5978.7578010626075</v>
      </c>
      <c r="D393" s="589">
        <f>D374*($C385/$C365)</f>
        <v>2562.3247718839748</v>
      </c>
      <c r="E393" s="589">
        <f>E374*($C385/$C365)</f>
        <v>172188.22467060309</v>
      </c>
      <c r="F393" s="589">
        <f>F374*($C385/$C365)</f>
        <v>9395.1908302412394</v>
      </c>
      <c r="G393" s="589">
        <f>SUM(B393:F393)</f>
        <v>568665.27770678338</v>
      </c>
      <c r="H393" s="590">
        <f>($G393*10^3)/($C385*10^6)</f>
        <v>3.3290000000000002</v>
      </c>
      <c r="I393" s="527"/>
    </row>
    <row r="394" spans="1:9">
      <c r="A394" s="588" t="s">
        <v>868</v>
      </c>
      <c r="B394" s="589">
        <f t="shared" ref="B394:F397" si="21">B375*($C386/$C366)</f>
        <v>1711870.0236660012</v>
      </c>
      <c r="C394" s="589">
        <f t="shared" si="21"/>
        <v>181561.97220700013</v>
      </c>
      <c r="D394" s="589">
        <f t="shared" si="21"/>
        <v>46687.364281800037</v>
      </c>
      <c r="E394" s="589">
        <f t="shared" si="21"/>
        <v>1045796.9599123207</v>
      </c>
      <c r="F394" s="589">
        <f t="shared" si="21"/>
        <v>129687.12300500009</v>
      </c>
      <c r="G394" s="589">
        <f>SUM(B394:F394)</f>
        <v>3115603.4430721221</v>
      </c>
      <c r="H394" s="590">
        <f>($G394*10^3)/($C386*10^6)</f>
        <v>30.029999999999998</v>
      </c>
      <c r="I394" s="527"/>
    </row>
    <row r="395" spans="1:9">
      <c r="A395" s="588" t="s">
        <v>190</v>
      </c>
      <c r="B395" s="589">
        <f t="shared" si="21"/>
        <v>332474.44958000933</v>
      </c>
      <c r="C395" s="589">
        <f t="shared" si="21"/>
        <v>382535.60241677071</v>
      </c>
      <c r="D395" s="589">
        <f t="shared" si="21"/>
        <v>1701.2328978509568</v>
      </c>
      <c r="E395" s="589">
        <f t="shared" si="21"/>
        <v>380834.36951891973</v>
      </c>
      <c r="F395" s="589">
        <f t="shared" si="21"/>
        <v>11334.356235682135</v>
      </c>
      <c r="G395" s="589">
        <f>SUM(B395:F395)</f>
        <v>1108880.0106492327</v>
      </c>
      <c r="H395" s="590">
        <f>($G395*10^3)/($C387*10^6)</f>
        <v>14.675028571428568</v>
      </c>
      <c r="I395" s="527"/>
    </row>
    <row r="396" spans="1:9">
      <c r="A396" s="588" t="s">
        <v>191</v>
      </c>
      <c r="B396" s="589">
        <f t="shared" si="21"/>
        <v>291173.2695322698</v>
      </c>
      <c r="C396" s="589">
        <f t="shared" si="21"/>
        <v>17470.396171936187</v>
      </c>
      <c r="D396" s="589">
        <f t="shared" si="21"/>
        <v>851.00240908631383</v>
      </c>
      <c r="E396" s="589">
        <f t="shared" si="21"/>
        <v>156534.74970054824</v>
      </c>
      <c r="F396" s="589">
        <f t="shared" si="21"/>
        <v>9705.775651075659</v>
      </c>
      <c r="G396" s="589">
        <f>SUM(B396:F396)</f>
        <v>475735.1934649162</v>
      </c>
      <c r="H396" s="590">
        <f>($G396*10^3)/($C388*10^6)</f>
        <v>6.1269600000000004</v>
      </c>
      <c r="I396" s="527"/>
    </row>
    <row r="397" spans="1:9">
      <c r="A397" s="588" t="s">
        <v>192</v>
      </c>
      <c r="B397" s="589">
        <f t="shared" si="21"/>
        <v>3812801.4163470026</v>
      </c>
      <c r="C397" s="589">
        <f t="shared" si="21"/>
        <v>992918.33237826207</v>
      </c>
      <c r="D397" s="589">
        <f t="shared" si="21"/>
        <v>20425.721873287515</v>
      </c>
      <c r="E397" s="589">
        <f t="shared" si="21"/>
        <v>915072.33992328064</v>
      </c>
      <c r="F397" s="589">
        <f t="shared" si="21"/>
        <v>181561.97220700013</v>
      </c>
      <c r="G397" s="589">
        <f>SUM(B397:F397)</f>
        <v>5922779.7827288322</v>
      </c>
      <c r="H397" s="590">
        <f>($G397*10^3)/($C389*10^6)</f>
        <v>6.5242514285714286</v>
      </c>
      <c r="I397" s="527"/>
    </row>
    <row r="398" spans="1:9">
      <c r="A398" s="588" t="s">
        <v>193</v>
      </c>
      <c r="B398" s="589">
        <f t="shared" ref="B398:G398" si="22">SUM(B393:B397)</f>
        <v>6526859.9387582755</v>
      </c>
      <c r="C398" s="589">
        <f t="shared" si="22"/>
        <v>1580465.0609750317</v>
      </c>
      <c r="D398" s="589">
        <f t="shared" si="22"/>
        <v>72227.646233908803</v>
      </c>
      <c r="E398" s="589">
        <f t="shared" si="22"/>
        <v>2670426.6437256723</v>
      </c>
      <c r="F398" s="589">
        <f t="shared" si="22"/>
        <v>341684.41792899923</v>
      </c>
      <c r="G398" s="589">
        <f t="shared" si="22"/>
        <v>11191663.707621887</v>
      </c>
      <c r="H398" s="590"/>
      <c r="I398" s="527"/>
    </row>
    <row r="399" spans="1:9" ht="15.75" thickBot="1">
      <c r="A399" s="591" t="s">
        <v>196</v>
      </c>
      <c r="B399" s="592">
        <f>B398/$G$398</f>
        <v>0.58318942645795113</v>
      </c>
      <c r="C399" s="592">
        <f>C398/$G$398</f>
        <v>0.14121806214554888</v>
      </c>
      <c r="D399" s="592">
        <f>D398/$G$398</f>
        <v>6.4537005507697151E-3</v>
      </c>
      <c r="E399" s="592">
        <f>E398/$G$398</f>
        <v>0.238608549496267</v>
      </c>
      <c r="F399" s="592">
        <f>F398/$G$398</f>
        <v>3.0530261349463263E-2</v>
      </c>
      <c r="G399" s="592">
        <v>1</v>
      </c>
      <c r="H399" s="592"/>
      <c r="I399" s="527"/>
    </row>
    <row r="400" spans="1:9">
      <c r="A400" s="527"/>
      <c r="B400" s="527"/>
      <c r="C400" s="527"/>
      <c r="D400" s="527"/>
      <c r="E400" s="527"/>
      <c r="F400" s="527"/>
      <c r="G400" s="527"/>
      <c r="H400" s="527"/>
      <c r="I400" s="527"/>
    </row>
    <row r="401" spans="1:10">
      <c r="A401" s="1013" t="s">
        <v>821</v>
      </c>
      <c r="B401" s="1159"/>
      <c r="C401" s="1159"/>
      <c r="D401" s="1159"/>
      <c r="E401" s="1159"/>
      <c r="F401" s="1159"/>
      <c r="G401" s="1159"/>
      <c r="H401" s="1159"/>
      <c r="I401" s="1159"/>
      <c r="J401" s="1159"/>
    </row>
    <row r="402" spans="1:10">
      <c r="A402" s="1159"/>
      <c r="B402" s="1159"/>
      <c r="C402" s="1159"/>
      <c r="D402" s="1159"/>
      <c r="E402" s="1159"/>
      <c r="F402" s="1159"/>
      <c r="G402" s="1159"/>
      <c r="H402" s="1159"/>
      <c r="I402" s="1159"/>
      <c r="J402" s="1159"/>
    </row>
    <row r="403" spans="1:10" ht="15" customHeight="1">
      <c r="A403" s="1167" t="s">
        <v>869</v>
      </c>
      <c r="B403" s="1168"/>
      <c r="C403" s="1168"/>
      <c r="D403" s="1168"/>
      <c r="E403" s="1168"/>
      <c r="F403" s="1168"/>
      <c r="G403" s="1168"/>
      <c r="H403" s="1168"/>
      <c r="I403" s="1168"/>
      <c r="J403" s="1168"/>
    </row>
    <row r="404" spans="1:10" ht="0.75" customHeight="1">
      <c r="A404" s="1167" t="s">
        <v>870</v>
      </c>
      <c r="B404" s="1168"/>
      <c r="C404" s="1168"/>
      <c r="D404" s="1168"/>
      <c r="E404" s="1168"/>
      <c r="F404" s="1168"/>
      <c r="G404" s="1168"/>
      <c r="H404" s="1168"/>
      <c r="I404" s="1168"/>
      <c r="J404" s="1168"/>
    </row>
    <row r="405" spans="1:10">
      <c r="A405" s="1168"/>
      <c r="B405" s="1168"/>
      <c r="C405" s="1168"/>
      <c r="D405" s="1168"/>
      <c r="E405" s="1168"/>
      <c r="F405" s="1168"/>
      <c r="G405" s="1168"/>
      <c r="H405" s="1168"/>
      <c r="I405" s="1168"/>
      <c r="J405" s="1168"/>
    </row>
    <row r="406" spans="1:10">
      <c r="A406" s="1168"/>
      <c r="B406" s="1168"/>
      <c r="C406" s="1168"/>
      <c r="D406" s="1168"/>
      <c r="E406" s="1168"/>
      <c r="F406" s="1168"/>
      <c r="G406" s="1168"/>
      <c r="H406" s="1168"/>
      <c r="I406" s="1168"/>
      <c r="J406" s="1168"/>
    </row>
    <row r="407" spans="1:10">
      <c r="A407" s="1168"/>
      <c r="B407" s="1168"/>
      <c r="C407" s="1168"/>
      <c r="D407" s="1168"/>
      <c r="E407" s="1168"/>
      <c r="F407" s="1168"/>
      <c r="G407" s="1168"/>
      <c r="H407" s="1168"/>
      <c r="I407" s="1168"/>
      <c r="J407" s="1168"/>
    </row>
    <row r="408" spans="1:10">
      <c r="A408" s="1013" t="s">
        <v>822</v>
      </c>
      <c r="B408" s="1159"/>
      <c r="C408" s="1159"/>
      <c r="D408" s="1159"/>
      <c r="E408" s="1159"/>
      <c r="F408" s="1159"/>
      <c r="G408" s="1159"/>
      <c r="H408" s="1159"/>
      <c r="I408" s="1159"/>
      <c r="J408" s="1159"/>
    </row>
    <row r="409" spans="1:10">
      <c r="A409" s="1159"/>
      <c r="B409" s="1159"/>
      <c r="C409" s="1159"/>
      <c r="D409" s="1159"/>
      <c r="E409" s="1159"/>
      <c r="F409" s="1159"/>
      <c r="G409" s="1159"/>
      <c r="H409" s="1159"/>
      <c r="I409" s="1159"/>
      <c r="J409" s="1159"/>
    </row>
    <row r="410" spans="1:10">
      <c r="A410" s="1083" t="s">
        <v>871</v>
      </c>
      <c r="B410" s="1084"/>
      <c r="C410" s="1084"/>
      <c r="D410" s="1084"/>
      <c r="E410" s="1084"/>
      <c r="F410" s="1084"/>
      <c r="G410" s="1084"/>
      <c r="H410" s="1084"/>
      <c r="I410" s="1084"/>
      <c r="J410" s="1084"/>
    </row>
    <row r="411" spans="1:10">
      <c r="A411" s="1084"/>
      <c r="B411" s="1084"/>
      <c r="C411" s="1084"/>
      <c r="D411" s="1084"/>
      <c r="E411" s="1084"/>
      <c r="F411" s="1084"/>
      <c r="G411" s="1084"/>
      <c r="H411" s="1084"/>
      <c r="I411" s="1084"/>
      <c r="J411" s="1084"/>
    </row>
    <row r="412" spans="1:10">
      <c r="A412" s="87"/>
      <c r="B412" s="87"/>
      <c r="C412" s="87"/>
      <c r="D412" s="87"/>
      <c r="E412" s="87"/>
      <c r="F412" s="87"/>
      <c r="G412" s="87"/>
      <c r="H412" s="87"/>
      <c r="I412" s="87"/>
      <c r="J412" s="87"/>
    </row>
    <row r="413" spans="1:10">
      <c r="A413" s="117" t="s">
        <v>823</v>
      </c>
      <c r="B413" s="117"/>
      <c r="C413" s="117"/>
      <c r="D413" s="117"/>
      <c r="E413" s="117"/>
      <c r="F413" s="117"/>
      <c r="G413" s="117"/>
      <c r="H413" s="64"/>
      <c r="I413" s="64"/>
      <c r="J413" s="64"/>
    </row>
    <row r="414" spans="1:10" ht="36.950000000000003" customHeight="1">
      <c r="A414" s="1114" t="s">
        <v>872</v>
      </c>
      <c r="B414" s="1115"/>
      <c r="C414" s="1115"/>
      <c r="D414" s="1115"/>
      <c r="E414" s="1115"/>
      <c r="F414" s="1115"/>
      <c r="G414" s="1115"/>
      <c r="H414" s="1115"/>
      <c r="I414" s="1115"/>
      <c r="J414" s="1115"/>
    </row>
    <row r="415" spans="1:10" ht="38.1" customHeight="1">
      <c r="A415" s="1115"/>
      <c r="B415" s="1115"/>
      <c r="C415" s="1115"/>
      <c r="D415" s="1115"/>
      <c r="E415" s="1115"/>
      <c r="F415" s="1115"/>
      <c r="G415" s="1115"/>
      <c r="H415" s="1115"/>
      <c r="I415" s="1115"/>
      <c r="J415" s="1115"/>
    </row>
    <row r="417" spans="1:13">
      <c r="A417" s="1013" t="s">
        <v>824</v>
      </c>
      <c r="B417" s="1159"/>
      <c r="C417" s="1159"/>
      <c r="D417" s="1159"/>
      <c r="E417" s="1159"/>
      <c r="F417" s="1159"/>
      <c r="G417" s="1159"/>
      <c r="H417" s="1159"/>
      <c r="I417" s="1159"/>
      <c r="J417" s="1159"/>
    </row>
    <row r="418" spans="1:13">
      <c r="A418" s="1159"/>
      <c r="B418" s="1159"/>
      <c r="C418" s="1159"/>
      <c r="D418" s="1159"/>
      <c r="E418" s="1159"/>
      <c r="F418" s="1159"/>
      <c r="G418" s="1159"/>
      <c r="H418" s="1159"/>
      <c r="I418" s="1159"/>
      <c r="J418" s="1159"/>
    </row>
    <row r="419" spans="1:13" ht="15" customHeight="1">
      <c r="A419" s="1119" t="s">
        <v>873</v>
      </c>
      <c r="B419" s="1119"/>
      <c r="C419" s="1119"/>
      <c r="D419" s="1119"/>
      <c r="E419" s="1119"/>
      <c r="F419" s="1119"/>
      <c r="G419" s="1119"/>
      <c r="H419" s="1119"/>
      <c r="I419" s="1119"/>
      <c r="J419" s="1119"/>
    </row>
    <row r="420" spans="1:13">
      <c r="A420" s="1119"/>
      <c r="B420" s="1119"/>
      <c r="C420" s="1119"/>
      <c r="D420" s="1119"/>
      <c r="E420" s="1119"/>
      <c r="F420" s="1119"/>
      <c r="G420" s="1119"/>
      <c r="H420" s="1119"/>
      <c r="I420" s="1119"/>
      <c r="J420" s="1119"/>
    </row>
    <row r="421" spans="1:13">
      <c r="A421" s="1119"/>
      <c r="B421" s="1119"/>
      <c r="C421" s="1119"/>
      <c r="D421" s="1119"/>
      <c r="E421" s="1119"/>
      <c r="F421" s="1119"/>
      <c r="G421" s="1119"/>
      <c r="H421" s="1119"/>
      <c r="I421" s="1119"/>
      <c r="J421" s="1119"/>
    </row>
    <row r="422" spans="1:13">
      <c r="A422" s="1119"/>
      <c r="B422" s="1119"/>
      <c r="C422" s="1119"/>
      <c r="D422" s="1119"/>
      <c r="E422" s="1119"/>
      <c r="F422" s="1119"/>
      <c r="G422" s="1119"/>
      <c r="H422" s="1119"/>
      <c r="I422" s="1119"/>
      <c r="J422" s="1119"/>
    </row>
    <row r="423" spans="1:13">
      <c r="A423" s="1119"/>
      <c r="B423" s="1119"/>
      <c r="C423" s="1119"/>
      <c r="D423" s="1119"/>
      <c r="E423" s="1119"/>
      <c r="F423" s="1119"/>
      <c r="G423" s="1119"/>
      <c r="H423" s="1119"/>
      <c r="I423" s="1119"/>
      <c r="J423" s="1119"/>
    </row>
    <row r="424" spans="1:13">
      <c r="A424" s="1119"/>
      <c r="B424" s="1119"/>
      <c r="C424" s="1119"/>
      <c r="D424" s="1119"/>
      <c r="E424" s="1119"/>
      <c r="F424" s="1119"/>
      <c r="G424" s="1119"/>
      <c r="H424" s="1119"/>
      <c r="I424" s="1119"/>
      <c r="J424" s="1119"/>
    </row>
    <row r="425" spans="1:13">
      <c r="A425" s="1119"/>
      <c r="B425" s="1119"/>
      <c r="C425" s="1119"/>
      <c r="D425" s="1119"/>
      <c r="E425" s="1119"/>
      <c r="F425" s="1119"/>
      <c r="G425" s="1119"/>
      <c r="H425" s="1119"/>
      <c r="I425" s="1119"/>
      <c r="J425" s="1119"/>
    </row>
    <row r="426" spans="1:13">
      <c r="A426" s="1119"/>
      <c r="B426" s="1119"/>
      <c r="C426" s="1119"/>
      <c r="D426" s="1119"/>
      <c r="E426" s="1119"/>
      <c r="F426" s="1119"/>
      <c r="G426" s="1119"/>
      <c r="H426" s="1119"/>
      <c r="I426" s="1119"/>
      <c r="J426" s="1119"/>
    </row>
    <row r="427" spans="1:13">
      <c r="A427" s="599"/>
      <c r="B427" s="599"/>
      <c r="C427" s="599"/>
      <c r="D427" s="599"/>
      <c r="E427" s="599"/>
      <c r="F427" s="599"/>
      <c r="G427" s="599"/>
      <c r="H427" s="599"/>
      <c r="I427" s="599"/>
      <c r="J427" s="543"/>
      <c r="K427" s="527"/>
    </row>
    <row r="428" spans="1:13" ht="15.95" customHeight="1" thickBot="1">
      <c r="A428" s="1014" t="s">
        <v>533</v>
      </c>
      <c r="B428" s="1014"/>
      <c r="C428" s="623" t="s">
        <v>825</v>
      </c>
      <c r="D428" s="600"/>
      <c r="E428" s="600"/>
      <c r="F428" s="600"/>
      <c r="G428" s="600"/>
      <c r="H428" s="600"/>
      <c r="I428" s="600"/>
      <c r="J428" s="601"/>
      <c r="K428" s="171"/>
      <c r="L428" s="171"/>
      <c r="M428" s="170"/>
    </row>
    <row r="429" spans="1:13" ht="15" customHeight="1">
      <c r="A429" s="1015"/>
      <c r="B429" s="1015"/>
      <c r="C429" s="1188" t="s">
        <v>183</v>
      </c>
      <c r="D429" s="603" t="s">
        <v>526</v>
      </c>
      <c r="E429" s="603" t="s">
        <v>145</v>
      </c>
      <c r="F429" s="603" t="s">
        <v>527</v>
      </c>
      <c r="G429" s="603" t="s">
        <v>528</v>
      </c>
      <c r="H429" s="603" t="s">
        <v>113</v>
      </c>
      <c r="I429" s="603" t="s">
        <v>529</v>
      </c>
      <c r="J429" s="602"/>
      <c r="K429" s="600"/>
      <c r="L429" s="169"/>
      <c r="M429" s="169"/>
    </row>
    <row r="430" spans="1:13" ht="15.95" customHeight="1" thickBot="1">
      <c r="A430" s="1015"/>
      <c r="B430" s="1015"/>
      <c r="C430" s="1189"/>
      <c r="D430" s="604" t="s">
        <v>530</v>
      </c>
      <c r="E430" s="604" t="s">
        <v>874</v>
      </c>
      <c r="F430" s="604" t="s">
        <v>531</v>
      </c>
      <c r="G430" s="604" t="s">
        <v>405</v>
      </c>
      <c r="H430" s="604" t="s">
        <v>532</v>
      </c>
      <c r="I430" s="604" t="s">
        <v>405</v>
      </c>
      <c r="J430" s="602"/>
      <c r="K430" s="600"/>
      <c r="L430" s="169"/>
      <c r="M430" s="169"/>
    </row>
    <row r="431" spans="1:13" ht="15" customHeight="1">
      <c r="A431" s="1015"/>
      <c r="B431" s="1015"/>
      <c r="C431" s="605" t="s">
        <v>519</v>
      </c>
      <c r="D431" s="606">
        <v>0.52400000000000002</v>
      </c>
      <c r="E431" s="606">
        <v>510</v>
      </c>
      <c r="F431" s="606">
        <v>4320</v>
      </c>
      <c r="G431" s="606">
        <v>1153.7</v>
      </c>
      <c r="H431" s="607">
        <v>8.2000000000000007E-3</v>
      </c>
      <c r="I431" s="608">
        <f>G431*(1+H431)^10</f>
        <v>1251.8717052910365</v>
      </c>
      <c r="J431" s="602"/>
      <c r="K431" s="600"/>
      <c r="L431" s="169"/>
      <c r="M431" s="169"/>
    </row>
    <row r="432" spans="1:13" ht="15" customHeight="1">
      <c r="A432" s="1015"/>
      <c r="B432" s="1015"/>
      <c r="C432" s="605" t="s">
        <v>520</v>
      </c>
      <c r="D432" s="606">
        <v>4.4999999999999998E-2</v>
      </c>
      <c r="E432" s="606">
        <v>18837</v>
      </c>
      <c r="F432" s="606">
        <v>4320</v>
      </c>
      <c r="G432" s="606">
        <v>3682.2</v>
      </c>
      <c r="H432" s="607">
        <v>6.9099999999999995E-2</v>
      </c>
      <c r="I432" s="608">
        <f t="shared" ref="I432:I438" si="23">G432*(1+H432)^10</f>
        <v>7182.7486491147556</v>
      </c>
      <c r="J432" s="602"/>
      <c r="K432" s="600"/>
      <c r="L432" s="169"/>
      <c r="M432" s="169"/>
    </row>
    <row r="433" spans="1:16" ht="15" customHeight="1">
      <c r="A433" s="1015"/>
      <c r="B433" s="1015"/>
      <c r="C433" s="605" t="s">
        <v>521</v>
      </c>
      <c r="D433" s="606">
        <v>0.82199999999999995</v>
      </c>
      <c r="E433" s="606">
        <v>560</v>
      </c>
      <c r="F433" s="606">
        <v>1920</v>
      </c>
      <c r="G433" s="606">
        <v>883.6</v>
      </c>
      <c r="H433" s="607">
        <v>3.8600000000000002E-2</v>
      </c>
      <c r="I433" s="608">
        <f t="shared" si="23"/>
        <v>1290.443189140705</v>
      </c>
      <c r="J433" s="602"/>
      <c r="K433" s="600"/>
      <c r="L433" s="169"/>
      <c r="M433" s="169"/>
    </row>
    <row r="434" spans="1:16">
      <c r="A434" s="602"/>
      <c r="B434" s="602"/>
      <c r="C434" s="605" t="s">
        <v>522</v>
      </c>
      <c r="D434" s="606">
        <v>0.20499999999999999</v>
      </c>
      <c r="E434" s="606">
        <v>1105</v>
      </c>
      <c r="F434" s="606">
        <v>8640</v>
      </c>
      <c r="G434" s="606">
        <v>1961.9</v>
      </c>
      <c r="H434" s="607">
        <v>2.5399999999999999E-2</v>
      </c>
      <c r="I434" s="608">
        <f t="shared" si="23"/>
        <v>2521.2156729938692</v>
      </c>
      <c r="J434" s="602"/>
      <c r="K434" s="600"/>
      <c r="L434" s="169"/>
      <c r="M434" s="169"/>
    </row>
    <row r="435" spans="1:16">
      <c r="A435" s="602"/>
      <c r="B435" s="602"/>
      <c r="C435" s="605" t="s">
        <v>523</v>
      </c>
      <c r="D435" s="606">
        <v>0.55900000000000005</v>
      </c>
      <c r="E435" s="606">
        <v>396</v>
      </c>
      <c r="F435" s="606">
        <v>4320</v>
      </c>
      <c r="G435" s="606">
        <v>956.6</v>
      </c>
      <c r="H435" s="607">
        <v>3.6900000000000002E-2</v>
      </c>
      <c r="I435" s="608">
        <f t="shared" si="23"/>
        <v>1374.355615619274</v>
      </c>
      <c r="J435" s="602"/>
      <c r="K435" s="600"/>
      <c r="L435" s="600"/>
      <c r="M435" s="600"/>
      <c r="N435" s="527"/>
      <c r="O435" s="527"/>
      <c r="P435" s="527"/>
    </row>
    <row r="436" spans="1:16">
      <c r="A436" s="602"/>
      <c r="B436" s="602"/>
      <c r="C436" s="605" t="s">
        <v>524</v>
      </c>
      <c r="D436" s="606">
        <v>0.313</v>
      </c>
      <c r="E436" s="606">
        <v>875</v>
      </c>
      <c r="F436" s="606">
        <v>6480</v>
      </c>
      <c r="G436" s="606">
        <v>1774.1</v>
      </c>
      <c r="H436" s="607">
        <v>1.01E-2</v>
      </c>
      <c r="I436" s="608">
        <f t="shared" si="23"/>
        <v>1961.6512844558122</v>
      </c>
      <c r="J436" s="602"/>
      <c r="K436" s="600"/>
      <c r="L436" s="600"/>
      <c r="M436" s="600"/>
      <c r="N436" s="527"/>
      <c r="O436" s="527"/>
      <c r="P436" s="527"/>
    </row>
    <row r="437" spans="1:16">
      <c r="A437" s="602"/>
      <c r="B437" s="602"/>
      <c r="C437" s="605" t="s">
        <v>525</v>
      </c>
      <c r="D437" s="606">
        <v>0.309</v>
      </c>
      <c r="E437" s="606">
        <v>623</v>
      </c>
      <c r="F437" s="606">
        <v>6480</v>
      </c>
      <c r="G437" s="606">
        <v>1248.5</v>
      </c>
      <c r="H437" s="607">
        <v>3.4299999999999997E-2</v>
      </c>
      <c r="I437" s="608">
        <f t="shared" si="23"/>
        <v>1749.257696909405</v>
      </c>
      <c r="J437" s="602"/>
      <c r="K437" s="600"/>
      <c r="L437" s="600"/>
      <c r="M437" s="600"/>
      <c r="N437" s="527"/>
      <c r="O437" s="527"/>
      <c r="P437" s="527"/>
    </row>
    <row r="438" spans="1:16">
      <c r="A438" s="602"/>
      <c r="B438" s="602"/>
      <c r="C438" s="605" t="s">
        <v>106</v>
      </c>
      <c r="D438" s="606">
        <v>0.378</v>
      </c>
      <c r="E438" s="606">
        <v>10150</v>
      </c>
      <c r="F438" s="606">
        <v>1920</v>
      </c>
      <c r="G438" s="606">
        <v>7365.1</v>
      </c>
      <c r="H438" s="607">
        <v>4.19E-2</v>
      </c>
      <c r="I438" s="608">
        <f t="shared" si="23"/>
        <v>11102.966467245438</v>
      </c>
      <c r="J438" s="602"/>
      <c r="K438" s="600"/>
      <c r="L438" s="600"/>
      <c r="M438" s="600"/>
      <c r="N438" s="527"/>
      <c r="O438" s="527"/>
      <c r="P438" s="527"/>
    </row>
    <row r="439" spans="1:16" ht="15.75" thickBot="1">
      <c r="A439" s="602"/>
      <c r="B439" s="602"/>
      <c r="C439" s="609" t="s">
        <v>193</v>
      </c>
      <c r="D439" s="604"/>
      <c r="E439" s="604">
        <v>33056</v>
      </c>
      <c r="F439" s="604"/>
      <c r="G439" s="604">
        <v>19025.7</v>
      </c>
      <c r="H439" s="604"/>
      <c r="I439" s="610">
        <f>SUM(I431:I438)</f>
        <v>28434.510280770297</v>
      </c>
      <c r="J439" s="602"/>
      <c r="K439" s="600"/>
      <c r="L439" s="600"/>
      <c r="M439" s="600"/>
      <c r="N439" s="527"/>
      <c r="O439" s="527"/>
      <c r="P439" s="527"/>
    </row>
    <row r="440" spans="1:16">
      <c r="A440" s="602"/>
      <c r="B440" s="602"/>
      <c r="C440" s="602"/>
      <c r="D440" s="602"/>
      <c r="E440" s="602"/>
      <c r="F440" s="602"/>
      <c r="G440" s="602"/>
      <c r="H440" s="602"/>
      <c r="I440" s="602"/>
      <c r="J440" s="602"/>
      <c r="K440" s="600"/>
      <c r="L440" s="600"/>
      <c r="M440" s="600"/>
      <c r="N440" s="527"/>
      <c r="O440" s="527"/>
      <c r="P440" s="527"/>
    </row>
    <row r="441" spans="1:16" ht="15.75" thickBot="1">
      <c r="A441" s="623" t="s">
        <v>826</v>
      </c>
      <c r="B441" s="600"/>
      <c r="C441" s="600"/>
      <c r="D441" s="600"/>
      <c r="E441" s="600"/>
      <c r="F441" s="600"/>
      <c r="G441" s="600"/>
      <c r="H441" s="600"/>
      <c r="I441" s="600"/>
      <c r="J441" s="600"/>
      <c r="K441" s="600"/>
      <c r="L441" s="600"/>
      <c r="M441" s="600"/>
      <c r="N441" s="527"/>
      <c r="O441" s="527"/>
      <c r="P441" s="527"/>
    </row>
    <row r="442" spans="1:16" ht="15.75" thickBot="1">
      <c r="A442" s="611" t="s">
        <v>183</v>
      </c>
      <c r="B442" s="1190" t="s">
        <v>514</v>
      </c>
      <c r="C442" s="1191"/>
      <c r="D442" s="1191" t="s">
        <v>515</v>
      </c>
      <c r="E442" s="1191"/>
      <c r="F442" s="1191" t="s">
        <v>516</v>
      </c>
      <c r="G442" s="1191"/>
      <c r="H442" s="1191" t="s">
        <v>517</v>
      </c>
      <c r="I442" s="1191"/>
      <c r="J442" s="1191" t="s">
        <v>518</v>
      </c>
      <c r="K442" s="1191"/>
      <c r="L442" s="1191" t="s">
        <v>154</v>
      </c>
      <c r="M442" s="1191"/>
      <c r="N442" s="527"/>
      <c r="O442" s="527"/>
      <c r="P442" s="527"/>
    </row>
    <row r="443" spans="1:16">
      <c r="A443" s="605" t="s">
        <v>519</v>
      </c>
      <c r="B443" s="612">
        <v>0.13</v>
      </c>
      <c r="C443" s="606">
        <v>1.5</v>
      </c>
      <c r="D443" s="612">
        <v>0.25</v>
      </c>
      <c r="E443" s="606">
        <v>2.88</v>
      </c>
      <c r="F443" s="612">
        <v>0.23</v>
      </c>
      <c r="G443" s="606">
        <v>2.65</v>
      </c>
      <c r="H443" s="612">
        <v>0.27</v>
      </c>
      <c r="I443" s="606">
        <v>3.11</v>
      </c>
      <c r="J443" s="612">
        <v>0.12</v>
      </c>
      <c r="K443" s="606">
        <v>1.38</v>
      </c>
      <c r="L443" s="612">
        <f>J443+H443+F443+D443+B443</f>
        <v>1</v>
      </c>
      <c r="M443" s="620">
        <f>K443+I443+G443+E443+C443</f>
        <v>11.52</v>
      </c>
      <c r="N443" s="527"/>
      <c r="O443" s="527"/>
      <c r="P443" s="527"/>
    </row>
    <row r="444" spans="1:16">
      <c r="A444" s="605" t="s">
        <v>520</v>
      </c>
      <c r="B444" s="612">
        <v>0.25</v>
      </c>
      <c r="C444" s="606">
        <v>902.14</v>
      </c>
      <c r="D444" s="612">
        <v>0.35</v>
      </c>
      <c r="E444" s="606">
        <v>1262.99</v>
      </c>
      <c r="F444" s="612">
        <v>0.4</v>
      </c>
      <c r="G444" s="606">
        <v>1443.42</v>
      </c>
      <c r="H444" s="612">
        <v>0</v>
      </c>
      <c r="I444" s="606">
        <v>0</v>
      </c>
      <c r="J444" s="612">
        <v>0</v>
      </c>
      <c r="K444" s="606">
        <v>0</v>
      </c>
      <c r="L444" s="612">
        <f t="shared" ref="L444:L451" si="24">J444+H444+F444+D444+B444</f>
        <v>1</v>
      </c>
      <c r="M444" s="620">
        <f t="shared" ref="M444:M451" si="25">K444+I444+G444+E444+C444</f>
        <v>3608.5499999999997</v>
      </c>
      <c r="N444" s="527"/>
      <c r="O444" s="527"/>
      <c r="P444" s="527"/>
    </row>
    <row r="445" spans="1:16">
      <c r="A445" s="605" t="s">
        <v>521</v>
      </c>
      <c r="B445" s="612">
        <v>0.15</v>
      </c>
      <c r="C445" s="606">
        <v>125.91</v>
      </c>
      <c r="D445" s="612">
        <v>0.33</v>
      </c>
      <c r="E445" s="606">
        <v>277.01</v>
      </c>
      <c r="F445" s="612">
        <v>0.3</v>
      </c>
      <c r="G445" s="606">
        <v>251.83</v>
      </c>
      <c r="H445" s="612">
        <v>0.12</v>
      </c>
      <c r="I445" s="606">
        <v>100.73</v>
      </c>
      <c r="J445" s="612">
        <v>0.1</v>
      </c>
      <c r="K445" s="606">
        <v>83.94</v>
      </c>
      <c r="L445" s="612">
        <f t="shared" si="24"/>
        <v>1</v>
      </c>
      <c r="M445" s="620">
        <f t="shared" si="25"/>
        <v>839.42</v>
      </c>
      <c r="N445" s="527"/>
      <c r="O445" s="527"/>
      <c r="P445" s="527"/>
    </row>
    <row r="446" spans="1:16">
      <c r="A446" s="605" t="s">
        <v>522</v>
      </c>
      <c r="B446" s="612">
        <v>0.12</v>
      </c>
      <c r="C446" s="606">
        <v>185.99</v>
      </c>
      <c r="D446" s="612">
        <v>0.35</v>
      </c>
      <c r="E446" s="606">
        <v>542.47</v>
      </c>
      <c r="F446" s="612">
        <v>0.25</v>
      </c>
      <c r="G446" s="606">
        <v>387.48</v>
      </c>
      <c r="H446" s="612">
        <v>0.13</v>
      </c>
      <c r="I446" s="606">
        <v>201.49</v>
      </c>
      <c r="J446" s="612">
        <v>0.15</v>
      </c>
      <c r="K446" s="606">
        <v>232.49</v>
      </c>
      <c r="L446" s="612">
        <f t="shared" si="24"/>
        <v>1</v>
      </c>
      <c r="M446" s="620">
        <f t="shared" si="25"/>
        <v>1549.92</v>
      </c>
      <c r="N446" s="527"/>
      <c r="O446" s="527"/>
      <c r="P446" s="527"/>
    </row>
    <row r="447" spans="1:16">
      <c r="A447" s="605" t="s">
        <v>523</v>
      </c>
      <c r="B447" s="612">
        <v>0.12</v>
      </c>
      <c r="C447" s="606">
        <v>102.16</v>
      </c>
      <c r="D447" s="612">
        <v>0.35</v>
      </c>
      <c r="E447" s="606">
        <v>297.98</v>
      </c>
      <c r="F447" s="612">
        <v>0.25</v>
      </c>
      <c r="G447" s="606">
        <v>212.84</v>
      </c>
      <c r="H447" s="612">
        <v>0.13</v>
      </c>
      <c r="I447" s="606">
        <v>110.68</v>
      </c>
      <c r="J447" s="612">
        <v>0.15</v>
      </c>
      <c r="K447" s="606">
        <v>127.71</v>
      </c>
      <c r="L447" s="612">
        <f t="shared" si="24"/>
        <v>1</v>
      </c>
      <c r="M447" s="620">
        <f t="shared" si="25"/>
        <v>851.37</v>
      </c>
      <c r="N447" s="527"/>
      <c r="O447" s="527"/>
      <c r="P447" s="527"/>
    </row>
    <row r="448" spans="1:16">
      <c r="A448" s="605" t="s">
        <v>524</v>
      </c>
      <c r="B448" s="612">
        <v>0.1</v>
      </c>
      <c r="C448" s="606">
        <v>10.64</v>
      </c>
      <c r="D448" s="612">
        <v>0.19</v>
      </c>
      <c r="E448" s="606">
        <v>20.22</v>
      </c>
      <c r="F448" s="612">
        <v>0.4</v>
      </c>
      <c r="G448" s="606">
        <v>42.58</v>
      </c>
      <c r="H448" s="612">
        <v>0.19</v>
      </c>
      <c r="I448" s="606">
        <v>20.22</v>
      </c>
      <c r="J448" s="612">
        <v>0.12</v>
      </c>
      <c r="K448" s="606">
        <v>12.77</v>
      </c>
      <c r="L448" s="612">
        <f t="shared" si="24"/>
        <v>0.99999999999999989</v>
      </c>
      <c r="M448" s="620">
        <f t="shared" si="25"/>
        <v>106.42999999999999</v>
      </c>
      <c r="N448" s="527"/>
      <c r="O448" s="527"/>
      <c r="P448" s="527"/>
    </row>
    <row r="449" spans="1:16">
      <c r="A449" s="605" t="s">
        <v>525</v>
      </c>
      <c r="B449" s="612">
        <v>0.05</v>
      </c>
      <c r="C449" s="606">
        <v>49.94</v>
      </c>
      <c r="D449" s="612">
        <v>0.25</v>
      </c>
      <c r="E449" s="606">
        <v>249.7</v>
      </c>
      <c r="F449" s="612">
        <v>0.18</v>
      </c>
      <c r="G449" s="606">
        <v>179.78</v>
      </c>
      <c r="H449" s="612">
        <v>0.27</v>
      </c>
      <c r="I449" s="606">
        <v>269.68</v>
      </c>
      <c r="J449" s="612">
        <v>0.25</v>
      </c>
      <c r="K449" s="606">
        <v>249.7</v>
      </c>
      <c r="L449" s="612">
        <f t="shared" si="24"/>
        <v>1</v>
      </c>
      <c r="M449" s="620">
        <f t="shared" si="25"/>
        <v>998.8</v>
      </c>
      <c r="N449" s="527"/>
      <c r="O449" s="527"/>
      <c r="P449" s="527"/>
    </row>
    <row r="450" spans="1:16">
      <c r="A450" s="605" t="s">
        <v>106</v>
      </c>
      <c r="B450" s="612">
        <v>0.13</v>
      </c>
      <c r="C450" s="606">
        <v>555.33000000000004</v>
      </c>
      <c r="D450" s="612">
        <v>0.25</v>
      </c>
      <c r="E450" s="606">
        <v>1067.94</v>
      </c>
      <c r="F450" s="612">
        <v>0.23</v>
      </c>
      <c r="G450" s="606">
        <v>982.5</v>
      </c>
      <c r="H450" s="612">
        <v>0.24</v>
      </c>
      <c r="I450" s="606">
        <v>1025.22</v>
      </c>
      <c r="J450" s="612">
        <v>0.15</v>
      </c>
      <c r="K450" s="606">
        <v>640.76</v>
      </c>
      <c r="L450" s="612">
        <f t="shared" si="24"/>
        <v>1</v>
      </c>
      <c r="M450" s="620">
        <f t="shared" si="25"/>
        <v>4271.75</v>
      </c>
      <c r="N450" s="527"/>
      <c r="O450" s="527"/>
      <c r="P450" s="527"/>
    </row>
    <row r="451" spans="1:16" ht="15.75" thickBot="1">
      <c r="A451" s="609" t="s">
        <v>193</v>
      </c>
      <c r="B451" s="613">
        <v>0.13</v>
      </c>
      <c r="C451" s="604">
        <v>1933.62</v>
      </c>
      <c r="D451" s="613">
        <v>0.25</v>
      </c>
      <c r="E451" s="604">
        <v>3721.2</v>
      </c>
      <c r="F451" s="613">
        <v>0.23</v>
      </c>
      <c r="G451" s="604">
        <v>3503.09</v>
      </c>
      <c r="H451" s="613">
        <v>0.27</v>
      </c>
      <c r="I451" s="604">
        <v>1731.13</v>
      </c>
      <c r="J451" s="613">
        <v>0.12</v>
      </c>
      <c r="K451" s="604">
        <v>1348.75</v>
      </c>
      <c r="L451" s="613">
        <f t="shared" si="24"/>
        <v>1</v>
      </c>
      <c r="M451" s="621">
        <f t="shared" si="25"/>
        <v>12237.79</v>
      </c>
      <c r="N451" s="527"/>
      <c r="O451" s="527"/>
      <c r="P451" s="527"/>
    </row>
    <row r="452" spans="1:16" ht="15.75" thickBot="1">
      <c r="A452" s="623" t="s">
        <v>827</v>
      </c>
      <c r="B452" s="600"/>
      <c r="C452" s="600"/>
      <c r="D452" s="600"/>
      <c r="E452" s="600"/>
      <c r="F452" s="600"/>
      <c r="G452" s="600"/>
      <c r="H452" s="600"/>
      <c r="I452" s="600"/>
      <c r="J452" s="600"/>
      <c r="K452" s="600"/>
      <c r="L452" s="600"/>
      <c r="M452" s="600"/>
      <c r="N452" s="527"/>
      <c r="O452" s="527"/>
      <c r="P452" s="527"/>
    </row>
    <row r="453" spans="1:16" ht="15.75" thickBot="1">
      <c r="A453" s="614" t="s">
        <v>183</v>
      </c>
      <c r="B453" s="1191" t="s">
        <v>514</v>
      </c>
      <c r="C453" s="1191"/>
      <c r="D453" s="1191" t="s">
        <v>515</v>
      </c>
      <c r="E453" s="1191"/>
      <c r="F453" s="1191" t="s">
        <v>516</v>
      </c>
      <c r="G453" s="1191"/>
      <c r="H453" s="1191" t="s">
        <v>517</v>
      </c>
      <c r="I453" s="1191"/>
      <c r="J453" s="1191" t="s">
        <v>518</v>
      </c>
      <c r="K453" s="1191"/>
      <c r="L453" s="615"/>
      <c r="M453" s="600"/>
      <c r="N453" s="527"/>
      <c r="O453" s="527"/>
      <c r="P453" s="527"/>
    </row>
    <row r="454" spans="1:16">
      <c r="A454" s="605" t="s">
        <v>519</v>
      </c>
      <c r="B454" s="615">
        <v>3800</v>
      </c>
      <c r="C454" s="606">
        <v>2.6</v>
      </c>
      <c r="D454" s="615">
        <v>6000</v>
      </c>
      <c r="E454" s="606">
        <v>15.5</v>
      </c>
      <c r="F454" s="615">
        <v>5300</v>
      </c>
      <c r="G454" s="606">
        <v>50.1</v>
      </c>
      <c r="H454" s="615">
        <v>4200</v>
      </c>
      <c r="I454" s="606">
        <v>106</v>
      </c>
      <c r="J454" s="615">
        <v>3500</v>
      </c>
      <c r="K454" s="606">
        <v>197.8</v>
      </c>
      <c r="L454" s="615"/>
      <c r="M454" s="600"/>
      <c r="N454" s="527"/>
      <c r="O454" s="527"/>
      <c r="P454" s="527"/>
    </row>
    <row r="455" spans="1:16">
      <c r="A455" s="605" t="s">
        <v>520</v>
      </c>
      <c r="B455" s="615">
        <v>5700</v>
      </c>
      <c r="C455" s="606">
        <v>2.7</v>
      </c>
      <c r="D455" s="615">
        <v>6300</v>
      </c>
      <c r="E455" s="606">
        <v>16</v>
      </c>
      <c r="F455" s="615">
        <v>3500</v>
      </c>
      <c r="G455" s="606">
        <v>46.9</v>
      </c>
      <c r="H455" s="615">
        <v>0</v>
      </c>
      <c r="I455" s="606">
        <v>0</v>
      </c>
      <c r="J455" s="615">
        <v>0</v>
      </c>
      <c r="K455" s="606">
        <v>0</v>
      </c>
      <c r="L455" s="615"/>
      <c r="M455" s="600"/>
      <c r="N455" s="527"/>
      <c r="O455" s="527"/>
      <c r="P455" s="527"/>
    </row>
    <row r="456" spans="1:16">
      <c r="A456" s="605" t="s">
        <v>521</v>
      </c>
      <c r="B456" s="615">
        <v>1500</v>
      </c>
      <c r="C456" s="606">
        <v>2.6</v>
      </c>
      <c r="D456" s="615">
        <v>2000</v>
      </c>
      <c r="E456" s="606">
        <v>14.4</v>
      </c>
      <c r="F456" s="615">
        <v>1800</v>
      </c>
      <c r="G456" s="606">
        <v>44.2</v>
      </c>
      <c r="H456" s="615">
        <v>1800</v>
      </c>
      <c r="I456" s="606">
        <v>97.2</v>
      </c>
      <c r="J456" s="615">
        <v>1800</v>
      </c>
      <c r="K456" s="606">
        <v>167.1</v>
      </c>
      <c r="L456" s="615"/>
      <c r="M456" s="600"/>
      <c r="N456" s="527"/>
      <c r="O456" s="527"/>
      <c r="P456" s="527"/>
    </row>
    <row r="457" spans="1:16">
      <c r="A457" s="605" t="s">
        <v>522</v>
      </c>
      <c r="B457" s="615">
        <v>4200</v>
      </c>
      <c r="C457" s="606">
        <v>2.5</v>
      </c>
      <c r="D457" s="615">
        <v>5000</v>
      </c>
      <c r="E457" s="606">
        <v>13.1</v>
      </c>
      <c r="F457" s="615">
        <v>5600</v>
      </c>
      <c r="G457" s="606">
        <v>46.4</v>
      </c>
      <c r="H457" s="615">
        <v>6800</v>
      </c>
      <c r="I457" s="606">
        <v>97.2</v>
      </c>
      <c r="J457" s="615">
        <v>5900</v>
      </c>
      <c r="K457" s="606">
        <v>169.1</v>
      </c>
      <c r="L457" s="615"/>
      <c r="M457" s="600"/>
      <c r="N457" s="527"/>
      <c r="O457" s="527"/>
      <c r="P457" s="527"/>
    </row>
    <row r="458" spans="1:16">
      <c r="A458" s="605" t="s">
        <v>523</v>
      </c>
      <c r="B458" s="615">
        <v>3200</v>
      </c>
      <c r="C458" s="606">
        <v>2.5</v>
      </c>
      <c r="D458" s="615">
        <v>5300</v>
      </c>
      <c r="E458" s="606">
        <v>15.5</v>
      </c>
      <c r="F458" s="615">
        <v>4800</v>
      </c>
      <c r="G458" s="606">
        <v>44.2</v>
      </c>
      <c r="H458" s="615">
        <v>6000</v>
      </c>
      <c r="I458" s="606">
        <v>99.2</v>
      </c>
      <c r="J458" s="615">
        <v>6000</v>
      </c>
      <c r="K458" s="606">
        <v>167.6</v>
      </c>
      <c r="L458" s="615"/>
      <c r="M458" s="600"/>
      <c r="N458" s="527"/>
      <c r="O458" s="527"/>
      <c r="P458" s="527"/>
    </row>
    <row r="459" spans="1:16">
      <c r="A459" s="605" t="s">
        <v>524</v>
      </c>
      <c r="B459" s="615">
        <v>3500</v>
      </c>
      <c r="C459" s="606">
        <v>2.6</v>
      </c>
      <c r="D459" s="615">
        <v>3000</v>
      </c>
      <c r="E459" s="606">
        <v>15.8</v>
      </c>
      <c r="F459" s="615">
        <v>3200</v>
      </c>
      <c r="G459" s="606">
        <v>47.5</v>
      </c>
      <c r="H459" s="615">
        <v>4500</v>
      </c>
      <c r="I459" s="606">
        <v>97.7</v>
      </c>
      <c r="J459" s="615">
        <v>4800</v>
      </c>
      <c r="K459" s="606">
        <v>166.3</v>
      </c>
      <c r="L459" s="615"/>
      <c r="M459" s="600"/>
      <c r="N459" s="527"/>
      <c r="O459" s="527"/>
      <c r="P459" s="527"/>
    </row>
    <row r="460" spans="1:16">
      <c r="A460" s="605" t="s">
        <v>525</v>
      </c>
      <c r="B460" s="615">
        <v>3900</v>
      </c>
      <c r="C460" s="606">
        <v>2.5</v>
      </c>
      <c r="D460" s="615">
        <v>6000</v>
      </c>
      <c r="E460" s="606">
        <v>13.1</v>
      </c>
      <c r="F460" s="615">
        <v>5300</v>
      </c>
      <c r="G460" s="606">
        <v>46.3</v>
      </c>
      <c r="H460" s="615">
        <v>4500</v>
      </c>
      <c r="I460" s="606">
        <v>97.1</v>
      </c>
      <c r="J460" s="615">
        <v>4000</v>
      </c>
      <c r="K460" s="606">
        <v>167.4</v>
      </c>
      <c r="L460" s="615"/>
      <c r="M460" s="600"/>
      <c r="N460" s="527"/>
      <c r="O460" s="527"/>
      <c r="P460" s="527"/>
    </row>
    <row r="461" spans="1:16" ht="15.75" thickBot="1">
      <c r="A461" s="609" t="s">
        <v>106</v>
      </c>
      <c r="B461" s="616">
        <v>3700</v>
      </c>
      <c r="C461" s="604">
        <v>2.2000000000000002</v>
      </c>
      <c r="D461" s="616">
        <v>4900</v>
      </c>
      <c r="E461" s="604">
        <v>15.1</v>
      </c>
      <c r="F461" s="616">
        <v>5000</v>
      </c>
      <c r="G461" s="604">
        <v>46.9</v>
      </c>
      <c r="H461" s="616">
        <v>5100</v>
      </c>
      <c r="I461" s="604">
        <v>99.4</v>
      </c>
      <c r="J461" s="616">
        <v>5500</v>
      </c>
      <c r="K461" s="604">
        <v>169.3</v>
      </c>
      <c r="L461" s="615"/>
      <c r="M461" s="600"/>
      <c r="N461" s="527"/>
      <c r="O461" s="527"/>
      <c r="P461" s="527"/>
    </row>
    <row r="462" spans="1:16" ht="15.75" thickBot="1">
      <c r="A462" s="623" t="s">
        <v>828</v>
      </c>
      <c r="B462" s="600"/>
      <c r="C462" s="600"/>
      <c r="D462" s="600"/>
      <c r="E462" s="600"/>
      <c r="F462" s="600"/>
      <c r="G462" s="600"/>
      <c r="H462" s="600"/>
      <c r="I462" s="600"/>
      <c r="J462" s="600"/>
      <c r="K462" s="600"/>
      <c r="L462" s="600"/>
      <c r="M462" s="600"/>
      <c r="N462" s="527"/>
      <c r="O462" s="527"/>
      <c r="P462" s="527"/>
    </row>
    <row r="463" spans="1:16" ht="15.75" thickBot="1">
      <c r="A463" s="611" t="s">
        <v>183</v>
      </c>
      <c r="B463" s="617" t="s">
        <v>514</v>
      </c>
      <c r="C463" s="617" t="s">
        <v>515</v>
      </c>
      <c r="D463" s="617" t="s">
        <v>516</v>
      </c>
      <c r="E463" s="617" t="s">
        <v>517</v>
      </c>
      <c r="F463" s="617" t="s">
        <v>518</v>
      </c>
      <c r="G463" s="600"/>
      <c r="H463" s="600"/>
      <c r="I463" s="600"/>
      <c r="J463" s="600"/>
      <c r="K463" s="600"/>
      <c r="L463" s="600"/>
      <c r="M463" s="600"/>
      <c r="N463" s="527"/>
      <c r="O463" s="527"/>
      <c r="P463" s="527"/>
    </row>
    <row r="464" spans="1:16">
      <c r="A464" s="605" t="s">
        <v>519</v>
      </c>
      <c r="B464" s="606">
        <v>153</v>
      </c>
      <c r="C464" s="606">
        <v>31</v>
      </c>
      <c r="D464" s="606">
        <v>10</v>
      </c>
      <c r="E464" s="606">
        <v>7</v>
      </c>
      <c r="F464" s="606">
        <v>2</v>
      </c>
      <c r="G464" s="600"/>
      <c r="H464" s="600"/>
      <c r="I464" s="600"/>
      <c r="J464" s="600"/>
      <c r="K464" s="600"/>
      <c r="L464" s="600"/>
      <c r="M464" s="600"/>
      <c r="N464" s="527"/>
      <c r="O464" s="527"/>
      <c r="P464" s="527"/>
    </row>
    <row r="465" spans="1:16">
      <c r="A465" s="605" t="s">
        <v>520</v>
      </c>
      <c r="B465" s="606">
        <v>58702</v>
      </c>
      <c r="C465" s="606">
        <v>12524</v>
      </c>
      <c r="D465" s="606">
        <v>8790</v>
      </c>
      <c r="E465" s="606">
        <v>0</v>
      </c>
      <c r="F465" s="606">
        <v>0</v>
      </c>
      <c r="G465" s="600"/>
      <c r="H465" s="600"/>
      <c r="I465" s="600"/>
      <c r="J465" s="600"/>
      <c r="K465" s="600"/>
      <c r="L465" s="600"/>
      <c r="M465" s="600"/>
      <c r="N465" s="527"/>
      <c r="O465" s="527"/>
      <c r="P465" s="527"/>
    </row>
    <row r="466" spans="1:16">
      <c r="A466" s="605" t="s">
        <v>521</v>
      </c>
      <c r="B466" s="606">
        <v>31984</v>
      </c>
      <c r="C466" s="606">
        <v>9650</v>
      </c>
      <c r="D466" s="606">
        <v>3168</v>
      </c>
      <c r="E466" s="606">
        <v>576</v>
      </c>
      <c r="F466" s="606">
        <v>279</v>
      </c>
      <c r="G466" s="600"/>
      <c r="H466" s="600"/>
      <c r="I466" s="600"/>
      <c r="J466" s="600"/>
      <c r="K466" s="600"/>
      <c r="L466" s="600"/>
      <c r="M466" s="600"/>
      <c r="N466" s="527"/>
      <c r="O466" s="527"/>
      <c r="P466" s="527"/>
    </row>
    <row r="467" spans="1:16">
      <c r="A467" s="605" t="s">
        <v>522</v>
      </c>
      <c r="B467" s="606">
        <v>17542</v>
      </c>
      <c r="C467" s="606">
        <v>8305</v>
      </c>
      <c r="D467" s="606">
        <v>1492</v>
      </c>
      <c r="E467" s="606">
        <v>305</v>
      </c>
      <c r="F467" s="606">
        <v>233</v>
      </c>
      <c r="G467" s="600"/>
      <c r="H467" s="600"/>
      <c r="I467" s="600"/>
      <c r="J467" s="600"/>
      <c r="K467" s="600"/>
      <c r="L467" s="600"/>
      <c r="M467" s="600"/>
      <c r="N467" s="527"/>
      <c r="O467" s="527"/>
      <c r="P467" s="527"/>
    </row>
    <row r="468" spans="1:16">
      <c r="A468" s="605" t="s">
        <v>523</v>
      </c>
      <c r="B468" s="606">
        <v>12639</v>
      </c>
      <c r="C468" s="606">
        <v>3638</v>
      </c>
      <c r="D468" s="606">
        <v>1004</v>
      </c>
      <c r="E468" s="606">
        <v>186</v>
      </c>
      <c r="F468" s="606">
        <v>127</v>
      </c>
      <c r="G468" s="600"/>
      <c r="H468" s="600"/>
      <c r="I468" s="600"/>
      <c r="J468" s="600"/>
      <c r="K468" s="600"/>
      <c r="L468" s="600"/>
      <c r="M468" s="600"/>
      <c r="N468" s="527"/>
      <c r="O468" s="527"/>
      <c r="P468" s="527"/>
    </row>
    <row r="469" spans="1:16">
      <c r="A469" s="605" t="s">
        <v>524</v>
      </c>
      <c r="B469" s="606">
        <v>1181</v>
      </c>
      <c r="C469" s="606">
        <v>426</v>
      </c>
      <c r="D469" s="606">
        <v>280</v>
      </c>
      <c r="E469" s="606">
        <v>46</v>
      </c>
      <c r="F469" s="606">
        <v>16</v>
      </c>
      <c r="G469" s="600"/>
      <c r="H469" s="600"/>
      <c r="I469" s="600"/>
      <c r="J469" s="600"/>
      <c r="K469" s="600"/>
      <c r="L469" s="600"/>
      <c r="M469" s="600"/>
      <c r="N469" s="527"/>
      <c r="O469" s="527"/>
      <c r="P469" s="527"/>
    </row>
    <row r="470" spans="1:16">
      <c r="A470" s="605" t="s">
        <v>525</v>
      </c>
      <c r="B470" s="606">
        <v>5066</v>
      </c>
      <c r="C470" s="606">
        <v>3186</v>
      </c>
      <c r="D470" s="606">
        <v>732</v>
      </c>
      <c r="E470" s="606">
        <v>617</v>
      </c>
      <c r="F470" s="606">
        <v>373</v>
      </c>
      <c r="G470" s="600"/>
      <c r="H470" s="600"/>
      <c r="I470" s="600"/>
      <c r="J470" s="600"/>
      <c r="K470" s="600"/>
      <c r="L470" s="600"/>
      <c r="M470" s="600"/>
      <c r="N470" s="527"/>
      <c r="O470" s="527"/>
      <c r="P470" s="527"/>
    </row>
    <row r="471" spans="1:16" ht="15.75" thickBot="1">
      <c r="A471" s="609" t="s">
        <v>106</v>
      </c>
      <c r="B471" s="604">
        <v>68152</v>
      </c>
      <c r="C471" s="604">
        <v>14445</v>
      </c>
      <c r="D471" s="604">
        <v>4188</v>
      </c>
      <c r="E471" s="604">
        <v>2023</v>
      </c>
      <c r="F471" s="604">
        <v>688</v>
      </c>
      <c r="G471" s="600"/>
      <c r="H471" s="600"/>
      <c r="I471" s="600"/>
      <c r="J471" s="600"/>
      <c r="K471" s="600"/>
      <c r="L471" s="600"/>
      <c r="M471" s="600"/>
      <c r="N471" s="527"/>
      <c r="O471" s="527"/>
      <c r="P471" s="527"/>
    </row>
    <row r="472" spans="1:16" ht="15.75" thickBot="1">
      <c r="A472" s="623" t="s">
        <v>829</v>
      </c>
      <c r="B472" s="600"/>
      <c r="C472" s="600"/>
      <c r="D472" s="600"/>
      <c r="E472" s="600"/>
      <c r="F472" s="600"/>
      <c r="G472" s="600"/>
      <c r="H472" s="600"/>
      <c r="I472" s="600"/>
      <c r="J472" s="600"/>
      <c r="K472" s="600"/>
      <c r="L472" s="600"/>
      <c r="M472" s="600"/>
      <c r="N472" s="527"/>
      <c r="O472" s="527"/>
      <c r="P472" s="527"/>
    </row>
    <row r="473" spans="1:16" ht="15.75" thickBot="1">
      <c r="A473" s="611" t="s">
        <v>183</v>
      </c>
      <c r="B473" s="1185" t="s">
        <v>514</v>
      </c>
      <c r="C473" s="1186"/>
      <c r="D473" s="1185" t="s">
        <v>515</v>
      </c>
      <c r="E473" s="1186"/>
      <c r="F473" s="1185" t="s">
        <v>516</v>
      </c>
      <c r="G473" s="1186"/>
      <c r="H473" s="1185" t="s">
        <v>517</v>
      </c>
      <c r="I473" s="1186"/>
      <c r="J473" s="1185" t="s">
        <v>518</v>
      </c>
      <c r="K473" s="1186"/>
      <c r="L473" s="1185" t="s">
        <v>193</v>
      </c>
      <c r="M473" s="1187"/>
      <c r="N473" s="527"/>
      <c r="O473" s="527"/>
      <c r="P473" s="527"/>
    </row>
    <row r="474" spans="1:16">
      <c r="A474" s="605" t="s">
        <v>519</v>
      </c>
      <c r="B474" s="608">
        <f>B464*C454*B454/(10^6)</f>
        <v>1.5116400000000001</v>
      </c>
      <c r="C474" s="618">
        <f t="shared" ref="C474:C481" si="26">(B464*(1+H431)^10)*C454*B454/(10^6)</f>
        <v>1.6402698661577035</v>
      </c>
      <c r="D474" s="608">
        <f>C464*E454*D454/(10^6)</f>
        <v>2.883</v>
      </c>
      <c r="E474" s="618">
        <f t="shared" ref="E474:E481" si="27">(C464*(1+H431)^10)*E454*D454/(10^6)</f>
        <v>3.1283228970738128</v>
      </c>
      <c r="F474" s="608">
        <f>D464*G454*F454/(10^6)</f>
        <v>2.6553</v>
      </c>
      <c r="G474" s="618">
        <f t="shared" ref="G474:G481" si="28">(D464*(1+H431)^10)*G454*F454/(10^6)</f>
        <v>2.8812472385015946</v>
      </c>
      <c r="H474" s="608">
        <f>E464*I454*H454/(10^6)</f>
        <v>3.1164000000000001</v>
      </c>
      <c r="I474" s="618">
        <f t="shared" ref="I474:I481" si="29">(E464*(1+H431)^10)*I454*H454/(10^6)</f>
        <v>3.3815835853072596</v>
      </c>
      <c r="J474" s="608">
        <f>F464*K454*J454/(10^6)</f>
        <v>1.3846000000000001</v>
      </c>
      <c r="K474" s="618">
        <f t="shared" ref="K474:K481" si="30">(F464*(1+H431)^10)*K454*J454/(10^6)</f>
        <v>1.5024196612169274</v>
      </c>
      <c r="L474" s="608">
        <f>B474+D474+F474+H474+J474</f>
        <v>11.550940000000001</v>
      </c>
      <c r="M474" s="608">
        <f>C474+E474+G474+I474+K474</f>
        <v>12.533843248257298</v>
      </c>
      <c r="N474" s="527"/>
      <c r="O474" s="527"/>
      <c r="P474" s="527"/>
    </row>
    <row r="475" spans="1:16">
      <c r="A475" s="605" t="s">
        <v>520</v>
      </c>
      <c r="B475" s="608">
        <f t="shared" ref="B475:B481" si="31">B465*C455*B455/(10^6)</f>
        <v>903.42378000000008</v>
      </c>
      <c r="C475" s="618">
        <f t="shared" si="26"/>
        <v>1762.2795978961346</v>
      </c>
      <c r="D475" s="608">
        <f t="shared" ref="D475:D481" si="32">C465*E455*D455/(10^6)</f>
        <v>1262.4192</v>
      </c>
      <c r="E475" s="618">
        <f t="shared" si="27"/>
        <v>2462.5603724448788</v>
      </c>
      <c r="F475" s="608">
        <f t="shared" ref="F475:F481" si="33">D465*G455*F455/(10^6)</f>
        <v>1442.8785</v>
      </c>
      <c r="G475" s="618">
        <f t="shared" si="28"/>
        <v>2814.5765022844289</v>
      </c>
      <c r="H475" s="608">
        <f t="shared" ref="H475:H481" si="34">E465*I455*H455/(10^6)</f>
        <v>0</v>
      </c>
      <c r="I475" s="618">
        <f t="shared" si="29"/>
        <v>0</v>
      </c>
      <c r="J475" s="608">
        <f t="shared" ref="J475:J481" si="35">F465*K455*J455/(10^6)</f>
        <v>0</v>
      </c>
      <c r="K475" s="618">
        <f t="shared" si="30"/>
        <v>0</v>
      </c>
      <c r="L475" s="608">
        <f t="shared" ref="L475:L481" si="36">B475+D475+F475+H475+J475</f>
        <v>3608.7214800000002</v>
      </c>
      <c r="M475" s="608">
        <f t="shared" ref="M475:M481" si="37">C475+E475+G475+I475+K475</f>
        <v>7039.4164726254421</v>
      </c>
      <c r="N475" s="527"/>
      <c r="O475" s="527"/>
      <c r="P475" s="527"/>
    </row>
    <row r="476" spans="1:16">
      <c r="A476" s="605" t="s">
        <v>521</v>
      </c>
      <c r="B476" s="608">
        <f t="shared" si="31"/>
        <v>124.73760000000001</v>
      </c>
      <c r="C476" s="618">
        <f t="shared" si="26"/>
        <v>182.17155539809596</v>
      </c>
      <c r="D476" s="608">
        <f t="shared" si="32"/>
        <v>277.92</v>
      </c>
      <c r="E476" s="618">
        <f t="shared" si="27"/>
        <v>405.88498316657393</v>
      </c>
      <c r="F476" s="608">
        <f t="shared" si="33"/>
        <v>252.04607999999999</v>
      </c>
      <c r="G476" s="618">
        <f t="shared" si="28"/>
        <v>368.09772214306622</v>
      </c>
      <c r="H476" s="608">
        <f t="shared" si="34"/>
        <v>100.77696000000002</v>
      </c>
      <c r="I476" s="618">
        <f t="shared" si="29"/>
        <v>147.17852156440159</v>
      </c>
      <c r="J476" s="608">
        <f t="shared" si="35"/>
        <v>83.917619999999999</v>
      </c>
      <c r="K476" s="618">
        <f t="shared" si="30"/>
        <v>122.55649748517179</v>
      </c>
      <c r="L476" s="608">
        <f t="shared" si="36"/>
        <v>839.39825999999994</v>
      </c>
      <c r="M476" s="608">
        <f t="shared" si="37"/>
        <v>1225.8892797573094</v>
      </c>
      <c r="N476" s="527"/>
      <c r="O476" s="527"/>
      <c r="P476" s="527"/>
    </row>
    <row r="477" spans="1:16">
      <c r="A477" s="605" t="s">
        <v>522</v>
      </c>
      <c r="B477" s="608">
        <f t="shared" si="31"/>
        <v>184.191</v>
      </c>
      <c r="C477" s="618">
        <f t="shared" si="26"/>
        <v>236.70178705561634</v>
      </c>
      <c r="D477" s="608">
        <f t="shared" si="32"/>
        <v>543.97749999999996</v>
      </c>
      <c r="E477" s="618">
        <f t="shared" si="27"/>
        <v>699.05938057802246</v>
      </c>
      <c r="F477" s="608">
        <f t="shared" si="33"/>
        <v>387.68128000000002</v>
      </c>
      <c r="G477" s="618">
        <f t="shared" si="28"/>
        <v>498.20486225716127</v>
      </c>
      <c r="H477" s="608">
        <f t="shared" si="34"/>
        <v>201.59280000000001</v>
      </c>
      <c r="I477" s="618">
        <f t="shared" si="29"/>
        <v>259.06464494761121</v>
      </c>
      <c r="J477" s="608">
        <f t="shared" si="35"/>
        <v>232.46176999999997</v>
      </c>
      <c r="K477" s="618">
        <f t="shared" si="30"/>
        <v>298.73401187415055</v>
      </c>
      <c r="L477" s="608">
        <f t="shared" si="36"/>
        <v>1549.9043499999998</v>
      </c>
      <c r="M477" s="608">
        <f t="shared" si="37"/>
        <v>1991.764686712562</v>
      </c>
      <c r="N477" s="527"/>
      <c r="O477" s="527"/>
      <c r="P477" s="527"/>
    </row>
    <row r="478" spans="1:16">
      <c r="A478" s="605" t="s">
        <v>523</v>
      </c>
      <c r="B478" s="608">
        <f t="shared" si="31"/>
        <v>101.11199999999999</v>
      </c>
      <c r="C478" s="618">
        <f t="shared" si="26"/>
        <v>145.2684978115158</v>
      </c>
      <c r="D478" s="608">
        <f t="shared" si="32"/>
        <v>298.86169999999998</v>
      </c>
      <c r="E478" s="618">
        <f t="shared" si="27"/>
        <v>429.37722735576284</v>
      </c>
      <c r="F478" s="608">
        <f t="shared" si="33"/>
        <v>213.00864000000001</v>
      </c>
      <c r="G478" s="618">
        <f t="shared" si="28"/>
        <v>306.03138256264299</v>
      </c>
      <c r="H478" s="608">
        <f t="shared" si="34"/>
        <v>110.7072</v>
      </c>
      <c r="I478" s="618">
        <f t="shared" si="29"/>
        <v>159.05400586398295</v>
      </c>
      <c r="J478" s="608">
        <f t="shared" si="35"/>
        <v>127.71120000000001</v>
      </c>
      <c r="K478" s="618">
        <f t="shared" si="30"/>
        <v>183.4838018999333</v>
      </c>
      <c r="L478" s="608">
        <f t="shared" si="36"/>
        <v>851.40074000000004</v>
      </c>
      <c r="M478" s="608">
        <f t="shared" si="37"/>
        <v>1223.2149154938379</v>
      </c>
      <c r="N478" s="527"/>
      <c r="O478" s="527"/>
      <c r="P478" s="527"/>
    </row>
    <row r="479" spans="1:16">
      <c r="A479" s="605" t="s">
        <v>524</v>
      </c>
      <c r="B479" s="608">
        <f t="shared" si="31"/>
        <v>10.7471</v>
      </c>
      <c r="C479" s="618">
        <f t="shared" si="26"/>
        <v>11.883243627289929</v>
      </c>
      <c r="D479" s="608">
        <f t="shared" si="32"/>
        <v>20.192399999999999</v>
      </c>
      <c r="E479" s="618">
        <f t="shared" si="27"/>
        <v>22.32706577771577</v>
      </c>
      <c r="F479" s="608">
        <f t="shared" si="33"/>
        <v>42.56</v>
      </c>
      <c r="G479" s="618">
        <f t="shared" si="28"/>
        <v>47.059285647054494</v>
      </c>
      <c r="H479" s="608">
        <f t="shared" si="34"/>
        <v>20.2239</v>
      </c>
      <c r="I479" s="618">
        <f t="shared" si="29"/>
        <v>22.361895841105859</v>
      </c>
      <c r="J479" s="608">
        <f t="shared" si="35"/>
        <v>12.771839999999999</v>
      </c>
      <c r="K479" s="618">
        <f t="shared" si="30"/>
        <v>14.122031644701043</v>
      </c>
      <c r="L479" s="608">
        <f t="shared" si="36"/>
        <v>106.49524</v>
      </c>
      <c r="M479" s="608">
        <f t="shared" si="37"/>
        <v>117.7535225378671</v>
      </c>
      <c r="N479" s="527"/>
      <c r="O479" s="527"/>
      <c r="P479" s="527"/>
    </row>
    <row r="480" spans="1:16">
      <c r="A480" s="605" t="s">
        <v>525</v>
      </c>
      <c r="B480" s="608">
        <f t="shared" si="31"/>
        <v>49.393500000000003</v>
      </c>
      <c r="C480" s="618">
        <f t="shared" si="26"/>
        <v>69.204613578129496</v>
      </c>
      <c r="D480" s="608">
        <f t="shared" si="32"/>
        <v>250.4196</v>
      </c>
      <c r="E480" s="618">
        <f t="shared" si="27"/>
        <v>350.8597619198834</v>
      </c>
      <c r="F480" s="608">
        <f t="shared" si="33"/>
        <v>179.62548000000001</v>
      </c>
      <c r="G480" s="618">
        <f t="shared" si="28"/>
        <v>251.67100797040155</v>
      </c>
      <c r="H480" s="608">
        <f t="shared" si="34"/>
        <v>269.59814999999998</v>
      </c>
      <c r="I480" s="618">
        <f t="shared" si="29"/>
        <v>377.73058787347713</v>
      </c>
      <c r="J480" s="608">
        <f t="shared" si="35"/>
        <v>249.76080000000002</v>
      </c>
      <c r="K480" s="618">
        <f t="shared" si="30"/>
        <v>349.9367254995999</v>
      </c>
      <c r="L480" s="608">
        <f t="shared" si="36"/>
        <v>998.79753000000005</v>
      </c>
      <c r="M480" s="608">
        <f t="shared" si="37"/>
        <v>1399.4026968414914</v>
      </c>
      <c r="N480" s="527"/>
      <c r="O480" s="527"/>
      <c r="P480" s="527"/>
    </row>
    <row r="481" spans="1:16">
      <c r="A481" s="605" t="s">
        <v>106</v>
      </c>
      <c r="B481" s="608">
        <f t="shared" si="31"/>
        <v>554.75728000000015</v>
      </c>
      <c r="C481" s="618">
        <f t="shared" si="26"/>
        <v>836.30249111353385</v>
      </c>
      <c r="D481" s="608">
        <f t="shared" si="32"/>
        <v>1068.7855500000001</v>
      </c>
      <c r="E481" s="618">
        <f t="shared" si="27"/>
        <v>1611.2055671106259</v>
      </c>
      <c r="F481" s="608">
        <f t="shared" si="33"/>
        <v>982.0859999999999</v>
      </c>
      <c r="G481" s="618">
        <f t="shared" si="28"/>
        <v>1480.5050747377772</v>
      </c>
      <c r="H481" s="608">
        <f t="shared" si="34"/>
        <v>1025.53962</v>
      </c>
      <c r="I481" s="618">
        <f t="shared" si="29"/>
        <v>1546.0118683645342</v>
      </c>
      <c r="J481" s="608">
        <f t="shared" si="35"/>
        <v>640.63120000000004</v>
      </c>
      <c r="K481" s="618">
        <f t="shared" si="30"/>
        <v>965.7583374932052</v>
      </c>
      <c r="L481" s="608">
        <f t="shared" si="36"/>
        <v>4271.7996499999999</v>
      </c>
      <c r="M481" s="608">
        <f t="shared" si="37"/>
        <v>6439.7833388196768</v>
      </c>
      <c r="N481" s="527"/>
      <c r="O481" s="527"/>
      <c r="P481" s="527"/>
    </row>
    <row r="482" spans="1:16" ht="15.75" thickBot="1">
      <c r="A482" s="609" t="s">
        <v>193</v>
      </c>
      <c r="B482" s="610">
        <f t="shared" ref="B482:M482" si="38">SUM(B474:B481)</f>
        <v>1929.8739000000005</v>
      </c>
      <c r="C482" s="619">
        <f t="shared" si="38"/>
        <v>3245.4520563464739</v>
      </c>
      <c r="D482" s="610">
        <f t="shared" si="38"/>
        <v>3725.4589500000002</v>
      </c>
      <c r="E482" s="619">
        <f t="shared" si="38"/>
        <v>5984.4026812505363</v>
      </c>
      <c r="F482" s="610">
        <f t="shared" si="38"/>
        <v>3502.5412799999999</v>
      </c>
      <c r="G482" s="619">
        <f t="shared" si="38"/>
        <v>5769.0270848410346</v>
      </c>
      <c r="H482" s="610">
        <f t="shared" si="38"/>
        <v>1731.55503</v>
      </c>
      <c r="I482" s="619">
        <f t="shared" si="38"/>
        <v>2514.7831080404203</v>
      </c>
      <c r="J482" s="610">
        <f t="shared" si="38"/>
        <v>1348.63903</v>
      </c>
      <c r="K482" s="619">
        <f t="shared" si="38"/>
        <v>1936.0938255579786</v>
      </c>
      <c r="L482" s="610">
        <f t="shared" si="38"/>
        <v>12238.06819</v>
      </c>
      <c r="M482" s="622">
        <f t="shared" si="38"/>
        <v>19449.758756036445</v>
      </c>
      <c r="N482" s="527"/>
      <c r="O482" s="527"/>
      <c r="P482" s="527"/>
    </row>
    <row r="483" spans="1:16">
      <c r="A483" s="172"/>
    </row>
    <row r="484" spans="1:16">
      <c r="A484" s="1013" t="s">
        <v>824</v>
      </c>
      <c r="B484" s="1159"/>
      <c r="C484" s="1159"/>
      <c r="D484" s="1159"/>
      <c r="E484" s="1159"/>
      <c r="F484" s="1159"/>
      <c r="G484" s="1159"/>
      <c r="H484" s="1159"/>
      <c r="I484" s="1159"/>
      <c r="J484" s="1159"/>
    </row>
    <row r="485" spans="1:16">
      <c r="A485" s="1159"/>
      <c r="B485" s="1159"/>
      <c r="C485" s="1159"/>
      <c r="D485" s="1159"/>
      <c r="E485" s="1159"/>
      <c r="F485" s="1159"/>
      <c r="G485" s="1159"/>
      <c r="H485" s="1159"/>
      <c r="I485" s="1159"/>
      <c r="J485" s="1159"/>
      <c r="K485" s="173"/>
      <c r="M485" s="173"/>
    </row>
    <row r="486" spans="1:16" ht="138.94999999999999" customHeight="1">
      <c r="A486" s="1194" t="s">
        <v>875</v>
      </c>
      <c r="B486" s="1195"/>
      <c r="C486" s="1195"/>
      <c r="D486" s="1195"/>
      <c r="E486" s="1195"/>
      <c r="F486" s="1195"/>
      <c r="G486" s="1195"/>
      <c r="H486" s="1195"/>
      <c r="I486" s="1195"/>
      <c r="J486" s="1195"/>
      <c r="K486" s="1195"/>
      <c r="L486" s="1195"/>
      <c r="M486" s="1195"/>
    </row>
    <row r="487" spans="1:16" ht="18" customHeight="1" thickBot="1">
      <c r="A487" s="625" t="s">
        <v>830</v>
      </c>
      <c r="B487" s="626"/>
      <c r="C487" s="626"/>
      <c r="D487" s="626"/>
      <c r="E487" s="626"/>
      <c r="F487" s="627"/>
      <c r="G487" s="624"/>
      <c r="H487" s="624"/>
      <c r="I487" s="174"/>
      <c r="J487" s="174"/>
      <c r="K487" s="174"/>
      <c r="L487" s="174"/>
      <c r="M487" s="174"/>
    </row>
    <row r="488" spans="1:16" ht="18" customHeight="1" thickBot="1">
      <c r="A488" s="628" t="s">
        <v>183</v>
      </c>
      <c r="B488" s="629" t="s">
        <v>514</v>
      </c>
      <c r="C488" s="629" t="s">
        <v>515</v>
      </c>
      <c r="D488" s="629" t="s">
        <v>516</v>
      </c>
      <c r="E488" s="629" t="s">
        <v>517</v>
      </c>
      <c r="F488" s="629" t="s">
        <v>518</v>
      </c>
      <c r="G488" s="624"/>
      <c r="H488" s="624"/>
      <c r="I488" s="174"/>
      <c r="J488" s="174"/>
      <c r="K488" s="174"/>
      <c r="L488" s="174"/>
      <c r="M488" s="174"/>
    </row>
    <row r="489" spans="1:16" ht="18" customHeight="1">
      <c r="A489" s="630" t="s">
        <v>519</v>
      </c>
      <c r="B489" s="631">
        <f t="shared" ref="B489:B496" si="39">B511-B464</f>
        <v>0</v>
      </c>
      <c r="C489" s="631">
        <f>-D489</f>
        <v>1</v>
      </c>
      <c r="D489" s="631">
        <f>-D464*0.1</f>
        <v>-1</v>
      </c>
      <c r="E489" s="631">
        <f t="shared" ref="E489:F496" si="40">E511-E464</f>
        <v>0</v>
      </c>
      <c r="F489" s="631">
        <f t="shared" si="40"/>
        <v>0</v>
      </c>
      <c r="G489" s="624"/>
      <c r="H489" s="624"/>
      <c r="I489" s="174"/>
      <c r="J489" s="174"/>
      <c r="K489" s="175"/>
      <c r="L489" s="175"/>
      <c r="M489" s="174"/>
    </row>
    <row r="490" spans="1:16" ht="18" customHeight="1">
      <c r="A490" s="630" t="s">
        <v>520</v>
      </c>
      <c r="B490" s="631">
        <f t="shared" si="39"/>
        <v>0</v>
      </c>
      <c r="C490" s="631">
        <f t="shared" ref="C490:C496" si="41">-D490</f>
        <v>879</v>
      </c>
      <c r="D490" s="631">
        <f t="shared" ref="D490:D496" si="42">-D465*0.1</f>
        <v>-879</v>
      </c>
      <c r="E490" s="631">
        <f t="shared" si="40"/>
        <v>0</v>
      </c>
      <c r="F490" s="631">
        <f t="shared" si="40"/>
        <v>0</v>
      </c>
      <c r="G490" s="624"/>
      <c r="H490" s="624"/>
      <c r="I490" s="174"/>
      <c r="J490" s="174"/>
      <c r="K490" s="2"/>
      <c r="L490" s="2"/>
      <c r="M490" s="174"/>
    </row>
    <row r="491" spans="1:16" ht="18" customHeight="1">
      <c r="A491" s="630" t="s">
        <v>521</v>
      </c>
      <c r="B491" s="631">
        <f t="shared" si="39"/>
        <v>0</v>
      </c>
      <c r="C491" s="631">
        <f t="shared" si="41"/>
        <v>316.8</v>
      </c>
      <c r="D491" s="631">
        <f t="shared" si="42"/>
        <v>-316.8</v>
      </c>
      <c r="E491" s="631">
        <f t="shared" si="40"/>
        <v>0</v>
      </c>
      <c r="F491" s="631">
        <f t="shared" si="40"/>
        <v>0</v>
      </c>
      <c r="G491" s="624"/>
      <c r="H491" s="624"/>
      <c r="I491" s="174"/>
      <c r="J491" s="174"/>
      <c r="K491" s="175"/>
      <c r="L491" s="175"/>
      <c r="M491" s="174"/>
    </row>
    <row r="492" spans="1:16" ht="18" customHeight="1">
      <c r="A492" s="630" t="s">
        <v>522</v>
      </c>
      <c r="B492" s="631">
        <f t="shared" si="39"/>
        <v>0</v>
      </c>
      <c r="C492" s="631">
        <f t="shared" si="41"/>
        <v>149.20000000000002</v>
      </c>
      <c r="D492" s="631">
        <f t="shared" si="42"/>
        <v>-149.20000000000002</v>
      </c>
      <c r="E492" s="631">
        <f t="shared" si="40"/>
        <v>0</v>
      </c>
      <c r="F492" s="631">
        <f t="shared" si="40"/>
        <v>0</v>
      </c>
      <c r="G492" s="624"/>
      <c r="H492" s="624"/>
      <c r="I492" s="174"/>
      <c r="J492" s="174"/>
      <c r="K492" s="174"/>
      <c r="L492" s="174"/>
      <c r="M492" s="174"/>
    </row>
    <row r="493" spans="1:16" ht="18" customHeight="1">
      <c r="A493" s="630" t="s">
        <v>523</v>
      </c>
      <c r="B493" s="631">
        <f t="shared" si="39"/>
        <v>0</v>
      </c>
      <c r="C493" s="631">
        <f t="shared" si="41"/>
        <v>100.4</v>
      </c>
      <c r="D493" s="631">
        <f t="shared" si="42"/>
        <v>-100.4</v>
      </c>
      <c r="E493" s="631">
        <f t="shared" si="40"/>
        <v>0</v>
      </c>
      <c r="F493" s="631">
        <f t="shared" si="40"/>
        <v>0</v>
      </c>
      <c r="G493" s="624"/>
      <c r="H493" s="624"/>
      <c r="I493" s="174"/>
      <c r="J493" s="174"/>
      <c r="K493" s="174"/>
      <c r="L493" s="174"/>
      <c r="M493" s="174"/>
    </row>
    <row r="494" spans="1:16" ht="18" customHeight="1">
      <c r="A494" s="630" t="s">
        <v>524</v>
      </c>
      <c r="B494" s="631">
        <f t="shared" si="39"/>
        <v>0</v>
      </c>
      <c r="C494" s="631">
        <f t="shared" si="41"/>
        <v>28</v>
      </c>
      <c r="D494" s="631">
        <f t="shared" si="42"/>
        <v>-28</v>
      </c>
      <c r="E494" s="631">
        <f t="shared" si="40"/>
        <v>0</v>
      </c>
      <c r="F494" s="631">
        <f t="shared" si="40"/>
        <v>0</v>
      </c>
      <c r="G494" s="624"/>
      <c r="H494" s="624"/>
      <c r="I494" s="174"/>
      <c r="J494" s="174"/>
      <c r="K494" s="174"/>
      <c r="L494" s="174"/>
      <c r="M494" s="174"/>
    </row>
    <row r="495" spans="1:16" ht="18" customHeight="1">
      <c r="A495" s="630" t="s">
        <v>525</v>
      </c>
      <c r="B495" s="631">
        <f t="shared" si="39"/>
        <v>0</v>
      </c>
      <c r="C495" s="631">
        <f t="shared" si="41"/>
        <v>73.2</v>
      </c>
      <c r="D495" s="631">
        <f t="shared" si="42"/>
        <v>-73.2</v>
      </c>
      <c r="E495" s="631">
        <f t="shared" si="40"/>
        <v>0</v>
      </c>
      <c r="F495" s="631">
        <f t="shared" si="40"/>
        <v>0</v>
      </c>
      <c r="G495" s="624"/>
      <c r="H495" s="624"/>
      <c r="I495" s="174"/>
      <c r="J495" s="174"/>
      <c r="K495" s="174"/>
      <c r="L495" s="174"/>
      <c r="M495" s="174"/>
    </row>
    <row r="496" spans="1:16" ht="15.95" customHeight="1" thickBot="1">
      <c r="A496" s="632" t="s">
        <v>106</v>
      </c>
      <c r="B496" s="633">
        <f t="shared" si="39"/>
        <v>0</v>
      </c>
      <c r="C496" s="633">
        <f t="shared" si="41"/>
        <v>418.8</v>
      </c>
      <c r="D496" s="633">
        <f t="shared" si="42"/>
        <v>-418.8</v>
      </c>
      <c r="E496" s="633">
        <f t="shared" si="40"/>
        <v>0</v>
      </c>
      <c r="F496" s="633">
        <f t="shared" si="40"/>
        <v>0</v>
      </c>
      <c r="G496" s="634"/>
      <c r="H496" s="634"/>
      <c r="I496" s="176"/>
      <c r="J496" s="176"/>
      <c r="K496" s="176"/>
      <c r="L496" s="177"/>
      <c r="M496" s="177"/>
    </row>
    <row r="497" spans="1:15" ht="15.95" customHeight="1">
      <c r="A497" s="635"/>
      <c r="B497" s="1198"/>
      <c r="C497" s="1198"/>
      <c r="D497" s="1198"/>
      <c r="E497" s="1198"/>
      <c r="F497" s="1198"/>
      <c r="G497" s="1198"/>
      <c r="H497" s="1198"/>
      <c r="I497" s="1198"/>
      <c r="J497" s="1199"/>
      <c r="K497" s="1199"/>
      <c r="L497" s="179"/>
      <c r="M497" s="177"/>
    </row>
    <row r="498" spans="1:15" ht="27" customHeight="1" thickBot="1">
      <c r="A498" s="636" t="s">
        <v>827</v>
      </c>
      <c r="B498" s="529"/>
      <c r="C498" s="529"/>
      <c r="D498" s="529"/>
      <c r="E498" s="529"/>
      <c r="F498" s="529"/>
      <c r="G498" s="529"/>
      <c r="H498" s="1202" t="s">
        <v>534</v>
      </c>
      <c r="I498" s="1202"/>
      <c r="J498" s="1192" t="s">
        <v>876</v>
      </c>
      <c r="K498" s="1193"/>
      <c r="L498" s="1193"/>
      <c r="M498" s="177"/>
    </row>
    <row r="499" spans="1:15" ht="15.95" customHeight="1" thickBot="1">
      <c r="A499" s="637" t="s">
        <v>183</v>
      </c>
      <c r="B499" s="1200" t="s">
        <v>514</v>
      </c>
      <c r="C499" s="1200"/>
      <c r="D499" s="1200" t="s">
        <v>515</v>
      </c>
      <c r="E499" s="1200"/>
      <c r="F499" s="1200" t="s">
        <v>516</v>
      </c>
      <c r="G499" s="1200"/>
      <c r="H499" s="1201" t="s">
        <v>515</v>
      </c>
      <c r="I499" s="1201"/>
      <c r="J499" s="1193"/>
      <c r="K499" s="1193"/>
      <c r="L499" s="1193"/>
      <c r="M499" s="177"/>
    </row>
    <row r="500" spans="1:15" ht="15.95" customHeight="1">
      <c r="A500" s="638" t="s">
        <v>519</v>
      </c>
      <c r="B500" s="594">
        <v>3800</v>
      </c>
      <c r="C500" s="639">
        <v>2.6</v>
      </c>
      <c r="D500" s="594">
        <v>6000</v>
      </c>
      <c r="E500" s="639">
        <v>15.5</v>
      </c>
      <c r="F500" s="594">
        <v>5300</v>
      </c>
      <c r="G500" s="639">
        <v>50.1</v>
      </c>
      <c r="H500" s="640">
        <f>F500</f>
        <v>5300</v>
      </c>
      <c r="I500" s="641">
        <f>G500*0.325</f>
        <v>16.282500000000002</v>
      </c>
      <c r="J500" s="1193"/>
      <c r="K500" s="1193"/>
      <c r="L500" s="1193"/>
      <c r="M500" s="177"/>
    </row>
    <row r="501" spans="1:15" ht="21" customHeight="1">
      <c r="A501" s="638" t="s">
        <v>520</v>
      </c>
      <c r="B501" s="594">
        <v>5700</v>
      </c>
      <c r="C501" s="639">
        <v>2.7</v>
      </c>
      <c r="D501" s="594">
        <v>6300</v>
      </c>
      <c r="E501" s="639">
        <v>16</v>
      </c>
      <c r="F501" s="594">
        <v>3500</v>
      </c>
      <c r="G501" s="639">
        <v>46.9</v>
      </c>
      <c r="H501" s="640">
        <f t="shared" ref="H501:H507" si="43">F501</f>
        <v>3500</v>
      </c>
      <c r="I501" s="641">
        <f t="shared" ref="I501:I507" si="44">G501*0.325</f>
        <v>15.2425</v>
      </c>
      <c r="J501" s="1193"/>
      <c r="K501" s="1193"/>
      <c r="L501" s="1193"/>
      <c r="M501" s="177"/>
    </row>
    <row r="502" spans="1:15" ht="18.75" customHeight="1">
      <c r="A502" s="638" t="s">
        <v>521</v>
      </c>
      <c r="B502" s="594">
        <v>1500</v>
      </c>
      <c r="C502" s="639">
        <v>2.6</v>
      </c>
      <c r="D502" s="594">
        <v>2000</v>
      </c>
      <c r="E502" s="639">
        <v>14.4</v>
      </c>
      <c r="F502" s="594">
        <v>1800</v>
      </c>
      <c r="G502" s="639">
        <v>44.2</v>
      </c>
      <c r="H502" s="640">
        <f t="shared" si="43"/>
        <v>1800</v>
      </c>
      <c r="I502" s="641">
        <f t="shared" si="44"/>
        <v>14.365000000000002</v>
      </c>
      <c r="J502" s="1193"/>
      <c r="K502" s="1193"/>
      <c r="L502" s="1193"/>
      <c r="M502" s="177"/>
    </row>
    <row r="503" spans="1:15" ht="22.5" customHeight="1">
      <c r="A503" s="638" t="s">
        <v>522</v>
      </c>
      <c r="B503" s="594">
        <v>4200</v>
      </c>
      <c r="C503" s="639">
        <v>2.5</v>
      </c>
      <c r="D503" s="594">
        <v>5000</v>
      </c>
      <c r="E503" s="639">
        <v>13.1</v>
      </c>
      <c r="F503" s="594">
        <v>5600</v>
      </c>
      <c r="G503" s="639">
        <v>46.4</v>
      </c>
      <c r="H503" s="640">
        <f t="shared" si="43"/>
        <v>5600</v>
      </c>
      <c r="I503" s="641">
        <f t="shared" si="44"/>
        <v>15.08</v>
      </c>
      <c r="J503" s="1193"/>
      <c r="K503" s="1193"/>
      <c r="L503" s="1193"/>
      <c r="M503" s="177"/>
    </row>
    <row r="504" spans="1:15" ht="19.5" customHeight="1">
      <c r="A504" s="638" t="s">
        <v>523</v>
      </c>
      <c r="B504" s="594">
        <v>3200</v>
      </c>
      <c r="C504" s="639">
        <v>2.5</v>
      </c>
      <c r="D504" s="594">
        <v>5300</v>
      </c>
      <c r="E504" s="639">
        <v>15.5</v>
      </c>
      <c r="F504" s="594">
        <v>4800</v>
      </c>
      <c r="G504" s="639">
        <v>44.2</v>
      </c>
      <c r="H504" s="640">
        <f t="shared" si="43"/>
        <v>4800</v>
      </c>
      <c r="I504" s="641">
        <f t="shared" si="44"/>
        <v>14.365000000000002</v>
      </c>
      <c r="J504" s="1193"/>
      <c r="K504" s="1193"/>
      <c r="L504" s="1193"/>
      <c r="M504" s="177"/>
    </row>
    <row r="505" spans="1:15" ht="23.25" customHeight="1">
      <c r="A505" s="638" t="s">
        <v>524</v>
      </c>
      <c r="B505" s="594">
        <v>3500</v>
      </c>
      <c r="C505" s="639">
        <v>2.6</v>
      </c>
      <c r="D505" s="594">
        <v>3000</v>
      </c>
      <c r="E505" s="639">
        <v>15.8</v>
      </c>
      <c r="F505" s="594">
        <v>3200</v>
      </c>
      <c r="G505" s="639">
        <v>47.5</v>
      </c>
      <c r="H505" s="640">
        <f t="shared" si="43"/>
        <v>3200</v>
      </c>
      <c r="I505" s="641">
        <f t="shared" si="44"/>
        <v>15.4375</v>
      </c>
      <c r="J505" s="1193"/>
      <c r="K505" s="1193"/>
      <c r="L505" s="1193"/>
      <c r="M505" s="177"/>
    </row>
    <row r="506" spans="1:15" ht="18.75" customHeight="1">
      <c r="A506" s="638" t="s">
        <v>525</v>
      </c>
      <c r="B506" s="594">
        <v>3900</v>
      </c>
      <c r="C506" s="639">
        <v>2.5</v>
      </c>
      <c r="D506" s="594">
        <v>6000</v>
      </c>
      <c r="E506" s="639">
        <v>13.1</v>
      </c>
      <c r="F506" s="594">
        <v>5300</v>
      </c>
      <c r="G506" s="639">
        <v>46.3</v>
      </c>
      <c r="H506" s="640">
        <f t="shared" si="43"/>
        <v>5300</v>
      </c>
      <c r="I506" s="641">
        <f t="shared" si="44"/>
        <v>15.047499999999999</v>
      </c>
      <c r="J506" s="1193"/>
      <c r="K506" s="1193"/>
      <c r="L506" s="1193"/>
      <c r="M506" s="177"/>
    </row>
    <row r="507" spans="1:15" ht="20.25" customHeight="1" thickBot="1">
      <c r="A507" s="642" t="s">
        <v>106</v>
      </c>
      <c r="B507" s="595">
        <v>3700</v>
      </c>
      <c r="C507" s="643">
        <v>2.2000000000000002</v>
      </c>
      <c r="D507" s="595">
        <v>4900</v>
      </c>
      <c r="E507" s="643">
        <v>15.1</v>
      </c>
      <c r="F507" s="595">
        <v>5000</v>
      </c>
      <c r="G507" s="643">
        <v>46.9</v>
      </c>
      <c r="H507" s="644">
        <f t="shared" si="43"/>
        <v>5000</v>
      </c>
      <c r="I507" s="645">
        <f t="shared" si="44"/>
        <v>15.2425</v>
      </c>
      <c r="J507" s="1193"/>
      <c r="K507" s="1193"/>
      <c r="L507" s="1193"/>
      <c r="M507" s="177"/>
    </row>
    <row r="508" spans="1:15" ht="15.95" customHeight="1">
      <c r="A508" s="635"/>
      <c r="B508" s="648"/>
      <c r="C508" s="649"/>
      <c r="D508" s="648"/>
      <c r="E508" s="649"/>
      <c r="F508" s="648"/>
      <c r="G508" s="649"/>
      <c r="H508" s="648"/>
      <c r="I508" s="649"/>
      <c r="J508" s="648"/>
      <c r="K508" s="649"/>
      <c r="L508" s="640"/>
      <c r="M508" s="650"/>
      <c r="N508" s="527"/>
      <c r="O508" s="527"/>
    </row>
    <row r="509" spans="1:15" ht="15.95" customHeight="1" thickBot="1">
      <c r="A509" s="636" t="s">
        <v>877</v>
      </c>
      <c r="B509" s="529"/>
      <c r="C509" s="529"/>
      <c r="D509" s="529"/>
      <c r="E509" s="529"/>
      <c r="F509" s="529"/>
      <c r="G509" s="650"/>
      <c r="H509" s="650"/>
      <c r="I509" s="650"/>
      <c r="J509" s="650"/>
      <c r="K509" s="650"/>
      <c r="L509" s="650"/>
      <c r="M509" s="650"/>
      <c r="N509" s="527"/>
      <c r="O509" s="527"/>
    </row>
    <row r="510" spans="1:15" ht="15.95" customHeight="1" thickBot="1">
      <c r="A510" s="651" t="s">
        <v>183</v>
      </c>
      <c r="B510" s="652" t="s">
        <v>514</v>
      </c>
      <c r="C510" s="652" t="s">
        <v>515</v>
      </c>
      <c r="D510" s="652" t="s">
        <v>516</v>
      </c>
      <c r="E510" s="652" t="s">
        <v>517</v>
      </c>
      <c r="F510" s="652" t="s">
        <v>518</v>
      </c>
      <c r="G510" s="650"/>
      <c r="H510" s="650"/>
      <c r="I510" s="650"/>
      <c r="J510" s="650"/>
      <c r="K510" s="650"/>
      <c r="L510" s="650"/>
      <c r="M510" s="650"/>
      <c r="N510" s="527"/>
      <c r="O510" s="527"/>
    </row>
    <row r="511" spans="1:15" ht="15.95" customHeight="1">
      <c r="A511" s="638" t="s">
        <v>519</v>
      </c>
      <c r="B511" s="639">
        <f t="shared" ref="B511:B518" si="45">B464</f>
        <v>153</v>
      </c>
      <c r="C511" s="653">
        <f t="shared" ref="C511:D518" si="46">C464+C489</f>
        <v>32</v>
      </c>
      <c r="D511" s="653">
        <f t="shared" si="46"/>
        <v>9</v>
      </c>
      <c r="E511" s="639">
        <f t="shared" ref="E511:F518" si="47">E464</f>
        <v>7</v>
      </c>
      <c r="F511" s="639">
        <f t="shared" si="47"/>
        <v>2</v>
      </c>
      <c r="G511" s="650"/>
      <c r="H511" s="650"/>
      <c r="I511" s="650"/>
      <c r="J511" s="650"/>
      <c r="K511" s="650"/>
      <c r="L511" s="650"/>
      <c r="M511" s="650"/>
      <c r="N511" s="527"/>
      <c r="O511" s="527"/>
    </row>
    <row r="512" spans="1:15" ht="15.95" customHeight="1">
      <c r="A512" s="638" t="s">
        <v>520</v>
      </c>
      <c r="B512" s="639">
        <f t="shared" si="45"/>
        <v>58702</v>
      </c>
      <c r="C512" s="653">
        <f t="shared" si="46"/>
        <v>13403</v>
      </c>
      <c r="D512" s="653">
        <f t="shared" si="46"/>
        <v>7911</v>
      </c>
      <c r="E512" s="639">
        <f t="shared" si="47"/>
        <v>0</v>
      </c>
      <c r="F512" s="639">
        <f t="shared" si="47"/>
        <v>0</v>
      </c>
      <c r="G512" s="650"/>
      <c r="H512" s="650"/>
      <c r="I512" s="650"/>
      <c r="J512" s="650"/>
      <c r="K512" s="650"/>
      <c r="L512" s="650"/>
      <c r="M512" s="650"/>
      <c r="N512" s="527"/>
      <c r="O512" s="527"/>
    </row>
    <row r="513" spans="1:15" ht="15.95" customHeight="1">
      <c r="A513" s="638" t="s">
        <v>521</v>
      </c>
      <c r="B513" s="639">
        <f t="shared" si="45"/>
        <v>31984</v>
      </c>
      <c r="C513" s="653">
        <f t="shared" si="46"/>
        <v>9966.7999999999993</v>
      </c>
      <c r="D513" s="653">
        <f t="shared" si="46"/>
        <v>2851.2</v>
      </c>
      <c r="E513" s="639">
        <f t="shared" si="47"/>
        <v>576</v>
      </c>
      <c r="F513" s="639">
        <f t="shared" si="47"/>
        <v>279</v>
      </c>
      <c r="G513" s="650"/>
      <c r="H513" s="650"/>
      <c r="I513" s="650"/>
      <c r="J513" s="650"/>
      <c r="K513" s="650"/>
      <c r="L513" s="650"/>
      <c r="M513" s="650"/>
      <c r="N513" s="527"/>
      <c r="O513" s="527"/>
    </row>
    <row r="514" spans="1:15" ht="15.95" customHeight="1">
      <c r="A514" s="638" t="s">
        <v>522</v>
      </c>
      <c r="B514" s="639">
        <f t="shared" si="45"/>
        <v>17542</v>
      </c>
      <c r="C514" s="653">
        <f t="shared" si="46"/>
        <v>8454.2000000000007</v>
      </c>
      <c r="D514" s="653">
        <f t="shared" si="46"/>
        <v>1342.8</v>
      </c>
      <c r="E514" s="639">
        <f t="shared" si="47"/>
        <v>305</v>
      </c>
      <c r="F514" s="639">
        <f t="shared" si="47"/>
        <v>233</v>
      </c>
      <c r="G514" s="650"/>
      <c r="H514" s="650"/>
      <c r="I514" s="650"/>
      <c r="J514" s="650"/>
      <c r="K514" s="650"/>
      <c r="L514" s="650"/>
      <c r="M514" s="650"/>
      <c r="N514" s="527"/>
      <c r="O514" s="527"/>
    </row>
    <row r="515" spans="1:15" ht="15.95" customHeight="1">
      <c r="A515" s="638" t="s">
        <v>523</v>
      </c>
      <c r="B515" s="639">
        <f t="shared" si="45"/>
        <v>12639</v>
      </c>
      <c r="C515" s="653">
        <f t="shared" si="46"/>
        <v>3738.4</v>
      </c>
      <c r="D515" s="653">
        <f t="shared" si="46"/>
        <v>903.6</v>
      </c>
      <c r="E515" s="639">
        <f t="shared" si="47"/>
        <v>186</v>
      </c>
      <c r="F515" s="639">
        <f t="shared" si="47"/>
        <v>127</v>
      </c>
      <c r="G515" s="650"/>
      <c r="H515" s="650"/>
      <c r="I515" s="650"/>
      <c r="J515" s="650"/>
      <c r="K515" s="650"/>
      <c r="L515" s="650"/>
      <c r="M515" s="650"/>
      <c r="N515" s="527"/>
      <c r="O515" s="527"/>
    </row>
    <row r="516" spans="1:15" ht="15.95" customHeight="1">
      <c r="A516" s="638" t="s">
        <v>524</v>
      </c>
      <c r="B516" s="639">
        <f t="shared" si="45"/>
        <v>1181</v>
      </c>
      <c r="C516" s="653">
        <f t="shared" si="46"/>
        <v>454</v>
      </c>
      <c r="D516" s="653">
        <f t="shared" si="46"/>
        <v>252</v>
      </c>
      <c r="E516" s="639">
        <f t="shared" si="47"/>
        <v>46</v>
      </c>
      <c r="F516" s="639">
        <f t="shared" si="47"/>
        <v>16</v>
      </c>
      <c r="G516" s="650"/>
      <c r="H516" s="650"/>
      <c r="I516" s="650"/>
      <c r="J516" s="650"/>
      <c r="K516" s="650"/>
      <c r="L516" s="650"/>
      <c r="M516" s="650"/>
      <c r="N516" s="527"/>
      <c r="O516" s="527"/>
    </row>
    <row r="517" spans="1:15" ht="15.95" customHeight="1">
      <c r="A517" s="638" t="s">
        <v>525</v>
      </c>
      <c r="B517" s="639">
        <f t="shared" si="45"/>
        <v>5066</v>
      </c>
      <c r="C517" s="653">
        <f t="shared" si="46"/>
        <v>3259.2</v>
      </c>
      <c r="D517" s="653">
        <f t="shared" si="46"/>
        <v>658.8</v>
      </c>
      <c r="E517" s="639">
        <f t="shared" si="47"/>
        <v>617</v>
      </c>
      <c r="F517" s="639">
        <f t="shared" si="47"/>
        <v>373</v>
      </c>
      <c r="G517" s="650"/>
      <c r="H517" s="650"/>
      <c r="I517" s="650"/>
      <c r="J517" s="650"/>
      <c r="K517" s="650"/>
      <c r="L517" s="650"/>
      <c r="M517" s="650"/>
      <c r="N517" s="527"/>
      <c r="O517" s="527"/>
    </row>
    <row r="518" spans="1:15" ht="15.95" customHeight="1" thickBot="1">
      <c r="A518" s="642" t="s">
        <v>106</v>
      </c>
      <c r="B518" s="643">
        <f t="shared" si="45"/>
        <v>68152</v>
      </c>
      <c r="C518" s="654">
        <f t="shared" si="46"/>
        <v>14863.8</v>
      </c>
      <c r="D518" s="654">
        <f t="shared" si="46"/>
        <v>3769.2</v>
      </c>
      <c r="E518" s="643">
        <f t="shared" si="47"/>
        <v>2023</v>
      </c>
      <c r="F518" s="643">
        <f t="shared" si="47"/>
        <v>688</v>
      </c>
      <c r="G518" s="650"/>
      <c r="H518" s="650"/>
      <c r="I518" s="650"/>
      <c r="J518" s="650"/>
      <c r="K518" s="650"/>
      <c r="L518" s="650"/>
      <c r="M518" s="650"/>
      <c r="N518" s="527"/>
      <c r="O518" s="527"/>
    </row>
    <row r="519" spans="1:15">
      <c r="A519" s="646"/>
      <c r="B519" s="646"/>
      <c r="C519" s="646"/>
      <c r="D519" s="646"/>
      <c r="E519" s="646"/>
      <c r="F519" s="646"/>
      <c r="G519" s="646"/>
      <c r="H519" s="646"/>
      <c r="I519" s="646"/>
      <c r="J519" s="646"/>
      <c r="K519" s="647"/>
      <c r="L519" s="527"/>
      <c r="M519" s="647"/>
      <c r="N519" s="527"/>
      <c r="O519" s="527"/>
    </row>
    <row r="520" spans="1:15" ht="15.75" thickBot="1">
      <c r="A520" s="636" t="s">
        <v>878</v>
      </c>
      <c r="B520" s="529"/>
      <c r="C520" s="529"/>
      <c r="D520" s="529"/>
      <c r="E520" s="529"/>
      <c r="F520" s="529"/>
      <c r="G520" s="529"/>
      <c r="H520" s="529"/>
      <c r="I520" s="529"/>
      <c r="J520" s="529"/>
      <c r="K520" s="529"/>
      <c r="L520" s="529"/>
      <c r="M520" s="529"/>
      <c r="N520" s="527"/>
      <c r="O520" s="527"/>
    </row>
    <row r="521" spans="1:15" ht="15.75" thickBot="1">
      <c r="A521" s="651" t="s">
        <v>183</v>
      </c>
      <c r="B521" s="1205" t="s">
        <v>514</v>
      </c>
      <c r="C521" s="1206"/>
      <c r="D521" s="1205" t="s">
        <v>515</v>
      </c>
      <c r="E521" s="1206"/>
      <c r="F521" s="1205" t="s">
        <v>516</v>
      </c>
      <c r="G521" s="1206"/>
      <c r="H521" s="1205" t="s">
        <v>517</v>
      </c>
      <c r="I521" s="1206"/>
      <c r="J521" s="1205" t="s">
        <v>518</v>
      </c>
      <c r="K521" s="1206"/>
      <c r="L521" s="1205" t="s">
        <v>193</v>
      </c>
      <c r="M521" s="1207"/>
      <c r="N521" s="527"/>
      <c r="O521" s="527"/>
    </row>
    <row r="522" spans="1:15">
      <c r="A522" s="638" t="s">
        <v>519</v>
      </c>
      <c r="B522" s="655">
        <f t="shared" ref="B522:B529" si="48">B464*C454*B454/(10^6)</f>
        <v>1.5116400000000001</v>
      </c>
      <c r="C522" s="656">
        <f t="shared" ref="C522:C529" si="49">(B464*(1+H431)^10)*C454*B454/(10^6)</f>
        <v>1.6402698661577035</v>
      </c>
      <c r="D522" s="655">
        <f t="shared" ref="D522:D529" si="50">C464*E454*D454/(10^6)</f>
        <v>2.883</v>
      </c>
      <c r="E522" s="657">
        <f t="shared" ref="E522:E529" si="51">(C464*(1+H431)^10)*E454*D454/(10^6)+(C489*(1+H431)^10)*H500*I500/(10^6)</f>
        <v>3.2219634323251145</v>
      </c>
      <c r="F522" s="655">
        <f t="shared" ref="F522:F529" si="52">D464*G454*F454/(10^6)</f>
        <v>2.6553</v>
      </c>
      <c r="G522" s="657">
        <f t="shared" ref="G522:G529" si="53">(D511*(1+H431)^10)*F500*G500/(10^6)</f>
        <v>2.5931225146514345</v>
      </c>
      <c r="H522" s="655">
        <f t="shared" ref="H522:H529" si="54">E464*I454*H454/(10^6)</f>
        <v>3.1164000000000001</v>
      </c>
      <c r="I522" s="656">
        <f t="shared" ref="I522:I529" si="55">(E464*(1+H431)^10)*I454*H454/(10^6)</f>
        <v>3.3815835853072596</v>
      </c>
      <c r="J522" s="655">
        <f t="shared" ref="J522:J529" si="56">F464*K454*J454/(10^6)</f>
        <v>1.3846000000000001</v>
      </c>
      <c r="K522" s="656">
        <f t="shared" ref="K522:K529" si="57">(F464*(1+H431)^10)*K454*J454/(10^6)</f>
        <v>1.5024196612169274</v>
      </c>
      <c r="L522" s="655">
        <f>B522+D522+F522+H522+J522</f>
        <v>11.550940000000001</v>
      </c>
      <c r="M522" s="641">
        <f>C522+E522+G522+I522+K522</f>
        <v>12.33935905965844</v>
      </c>
      <c r="N522" s="527"/>
      <c r="O522" s="527"/>
    </row>
    <row r="523" spans="1:15">
      <c r="A523" s="638" t="s">
        <v>520</v>
      </c>
      <c r="B523" s="655">
        <f t="shared" si="48"/>
        <v>903.42378000000008</v>
      </c>
      <c r="C523" s="656">
        <f t="shared" si="49"/>
        <v>1762.2795978961346</v>
      </c>
      <c r="D523" s="655">
        <f t="shared" si="50"/>
        <v>1262.4192</v>
      </c>
      <c r="E523" s="657">
        <f t="shared" si="51"/>
        <v>2554.0341087691227</v>
      </c>
      <c r="F523" s="655">
        <f t="shared" si="52"/>
        <v>1442.8785</v>
      </c>
      <c r="G523" s="657">
        <f t="shared" si="53"/>
        <v>2533.1188520559863</v>
      </c>
      <c r="H523" s="655">
        <f t="shared" si="54"/>
        <v>0</v>
      </c>
      <c r="I523" s="656">
        <f t="shared" si="55"/>
        <v>0</v>
      </c>
      <c r="J523" s="655">
        <f t="shared" si="56"/>
        <v>0</v>
      </c>
      <c r="K523" s="656">
        <f t="shared" si="57"/>
        <v>0</v>
      </c>
      <c r="L523" s="655">
        <f t="shared" ref="L523:L529" si="58">B523+D523+F523+H523+J523</f>
        <v>3608.7214800000002</v>
      </c>
      <c r="M523" s="641">
        <f t="shared" ref="M523:M529" si="59">C523+E523+G523+I523+K523</f>
        <v>6849.4325587212434</v>
      </c>
      <c r="N523" s="527"/>
      <c r="O523" s="527"/>
    </row>
    <row r="524" spans="1:15">
      <c r="A524" s="638" t="s">
        <v>521</v>
      </c>
      <c r="B524" s="655">
        <f t="shared" si="48"/>
        <v>124.73760000000001</v>
      </c>
      <c r="C524" s="656">
        <f t="shared" si="49"/>
        <v>182.17155539809596</v>
      </c>
      <c r="D524" s="655">
        <f t="shared" si="50"/>
        <v>277.92</v>
      </c>
      <c r="E524" s="657">
        <f t="shared" si="51"/>
        <v>417.84815913622356</v>
      </c>
      <c r="F524" s="655">
        <f t="shared" si="52"/>
        <v>252.04607999999999</v>
      </c>
      <c r="G524" s="657">
        <f t="shared" si="53"/>
        <v>331.28794992875959</v>
      </c>
      <c r="H524" s="655">
        <f t="shared" si="54"/>
        <v>100.77696000000002</v>
      </c>
      <c r="I524" s="656">
        <f t="shared" si="55"/>
        <v>147.17852156440159</v>
      </c>
      <c r="J524" s="655">
        <f t="shared" si="56"/>
        <v>83.917619999999999</v>
      </c>
      <c r="K524" s="656">
        <f t="shared" si="57"/>
        <v>122.55649748517179</v>
      </c>
      <c r="L524" s="655">
        <f t="shared" si="58"/>
        <v>839.39825999999994</v>
      </c>
      <c r="M524" s="641">
        <f t="shared" si="59"/>
        <v>1201.0426835126525</v>
      </c>
      <c r="N524" s="527"/>
      <c r="O524" s="527"/>
    </row>
    <row r="525" spans="1:15">
      <c r="A525" s="638" t="s">
        <v>522</v>
      </c>
      <c r="B525" s="655">
        <f t="shared" si="48"/>
        <v>184.191</v>
      </c>
      <c r="C525" s="656">
        <f t="shared" si="49"/>
        <v>236.70178705561634</v>
      </c>
      <c r="D525" s="655">
        <f t="shared" si="50"/>
        <v>543.97749999999996</v>
      </c>
      <c r="E525" s="657">
        <f t="shared" si="51"/>
        <v>715.25103860138017</v>
      </c>
      <c r="F525" s="655">
        <f t="shared" si="52"/>
        <v>387.68128000000002</v>
      </c>
      <c r="G525" s="657">
        <f t="shared" si="53"/>
        <v>448.38437603144507</v>
      </c>
      <c r="H525" s="655">
        <f t="shared" si="54"/>
        <v>201.59280000000001</v>
      </c>
      <c r="I525" s="656">
        <f t="shared" si="55"/>
        <v>259.06464494761121</v>
      </c>
      <c r="J525" s="655">
        <f t="shared" si="56"/>
        <v>232.46176999999997</v>
      </c>
      <c r="K525" s="656">
        <f t="shared" si="57"/>
        <v>298.73401187415055</v>
      </c>
      <c r="L525" s="655">
        <f t="shared" si="58"/>
        <v>1549.9043499999998</v>
      </c>
      <c r="M525" s="641">
        <f t="shared" si="59"/>
        <v>1958.1358585102034</v>
      </c>
      <c r="N525" s="527"/>
      <c r="O525" s="527"/>
    </row>
    <row r="526" spans="1:15">
      <c r="A526" s="638" t="s">
        <v>523</v>
      </c>
      <c r="B526" s="655">
        <f t="shared" si="48"/>
        <v>101.11199999999999</v>
      </c>
      <c r="C526" s="656">
        <f t="shared" si="49"/>
        <v>145.2684978115158</v>
      </c>
      <c r="D526" s="655">
        <f t="shared" si="50"/>
        <v>298.86169999999998</v>
      </c>
      <c r="E526" s="657">
        <f t="shared" si="51"/>
        <v>439.32324728904877</v>
      </c>
      <c r="F526" s="655">
        <f t="shared" si="52"/>
        <v>213.00864000000001</v>
      </c>
      <c r="G526" s="657">
        <f t="shared" si="53"/>
        <v>275.4282443063787</v>
      </c>
      <c r="H526" s="655">
        <f t="shared" si="54"/>
        <v>110.7072</v>
      </c>
      <c r="I526" s="656">
        <f t="shared" si="55"/>
        <v>159.05400586398295</v>
      </c>
      <c r="J526" s="655">
        <f t="shared" si="56"/>
        <v>127.71120000000001</v>
      </c>
      <c r="K526" s="656">
        <f t="shared" si="57"/>
        <v>183.4838018999333</v>
      </c>
      <c r="L526" s="655">
        <f t="shared" si="58"/>
        <v>851.40074000000004</v>
      </c>
      <c r="M526" s="641">
        <f t="shared" si="59"/>
        <v>1202.5577971708597</v>
      </c>
      <c r="N526" s="527"/>
      <c r="O526" s="527"/>
    </row>
    <row r="527" spans="1:15">
      <c r="A527" s="638" t="s">
        <v>524</v>
      </c>
      <c r="B527" s="655">
        <f t="shared" si="48"/>
        <v>10.7471</v>
      </c>
      <c r="C527" s="656">
        <f t="shared" si="49"/>
        <v>11.883243627289929</v>
      </c>
      <c r="D527" s="655">
        <f t="shared" si="50"/>
        <v>20.192399999999999</v>
      </c>
      <c r="E527" s="657">
        <f t="shared" si="51"/>
        <v>23.856492561245041</v>
      </c>
      <c r="F527" s="655">
        <f t="shared" si="52"/>
        <v>42.56</v>
      </c>
      <c r="G527" s="657">
        <f t="shared" si="53"/>
        <v>42.353357082349042</v>
      </c>
      <c r="H527" s="655">
        <f t="shared" si="54"/>
        <v>20.2239</v>
      </c>
      <c r="I527" s="656">
        <f t="shared" si="55"/>
        <v>22.361895841105859</v>
      </c>
      <c r="J527" s="655">
        <f t="shared" si="56"/>
        <v>12.771839999999999</v>
      </c>
      <c r="K527" s="656">
        <f t="shared" si="57"/>
        <v>14.122031644701043</v>
      </c>
      <c r="L527" s="655">
        <f t="shared" si="58"/>
        <v>106.49524</v>
      </c>
      <c r="M527" s="641">
        <f t="shared" si="59"/>
        <v>114.57702075669091</v>
      </c>
      <c r="N527" s="527"/>
      <c r="O527" s="527"/>
    </row>
    <row r="528" spans="1:15">
      <c r="A528" s="638" t="s">
        <v>525</v>
      </c>
      <c r="B528" s="655">
        <f t="shared" si="48"/>
        <v>49.393500000000003</v>
      </c>
      <c r="C528" s="656">
        <f t="shared" si="49"/>
        <v>69.204613578129496</v>
      </c>
      <c r="D528" s="655">
        <f t="shared" si="50"/>
        <v>250.4196</v>
      </c>
      <c r="E528" s="657">
        <f t="shared" si="51"/>
        <v>359.03906967892146</v>
      </c>
      <c r="F528" s="655">
        <f t="shared" si="52"/>
        <v>179.62548000000001</v>
      </c>
      <c r="G528" s="657">
        <f t="shared" si="53"/>
        <v>226.5039071733614</v>
      </c>
      <c r="H528" s="655">
        <f t="shared" si="54"/>
        <v>269.59814999999998</v>
      </c>
      <c r="I528" s="656">
        <f t="shared" si="55"/>
        <v>377.73058787347713</v>
      </c>
      <c r="J528" s="655">
        <f t="shared" si="56"/>
        <v>249.76080000000002</v>
      </c>
      <c r="K528" s="656">
        <f t="shared" si="57"/>
        <v>349.9367254995999</v>
      </c>
      <c r="L528" s="655">
        <f t="shared" si="58"/>
        <v>998.79753000000005</v>
      </c>
      <c r="M528" s="641">
        <f t="shared" si="59"/>
        <v>1382.4149038034893</v>
      </c>
      <c r="N528" s="527"/>
      <c r="O528" s="527"/>
    </row>
    <row r="529" spans="1:15">
      <c r="A529" s="638" t="s">
        <v>106</v>
      </c>
      <c r="B529" s="655">
        <f t="shared" si="48"/>
        <v>554.75728000000015</v>
      </c>
      <c r="C529" s="656">
        <f t="shared" si="49"/>
        <v>836.30249111353385</v>
      </c>
      <c r="D529" s="655">
        <f t="shared" si="50"/>
        <v>1068.7855500000001</v>
      </c>
      <c r="E529" s="657">
        <f t="shared" si="51"/>
        <v>1659.3219820396037</v>
      </c>
      <c r="F529" s="655">
        <f t="shared" si="52"/>
        <v>982.0859999999999</v>
      </c>
      <c r="G529" s="657">
        <f t="shared" si="53"/>
        <v>1332.4545672639995</v>
      </c>
      <c r="H529" s="655">
        <f t="shared" si="54"/>
        <v>1025.53962</v>
      </c>
      <c r="I529" s="656">
        <f t="shared" si="55"/>
        <v>1546.0118683645342</v>
      </c>
      <c r="J529" s="655">
        <f t="shared" si="56"/>
        <v>640.63120000000004</v>
      </c>
      <c r="K529" s="656">
        <f t="shared" si="57"/>
        <v>965.7583374932052</v>
      </c>
      <c r="L529" s="655">
        <f t="shared" si="58"/>
        <v>4271.7996499999999</v>
      </c>
      <c r="M529" s="641">
        <f t="shared" si="59"/>
        <v>6339.8492462748764</v>
      </c>
      <c r="N529" s="527"/>
      <c r="O529" s="527"/>
    </row>
    <row r="530" spans="1:15" ht="15.75" thickBot="1">
      <c r="A530" s="642" t="s">
        <v>193</v>
      </c>
      <c r="B530" s="658">
        <f t="shared" ref="B530:M530" si="60">SUM(B522:B529)</f>
        <v>1929.8739000000005</v>
      </c>
      <c r="C530" s="659">
        <f t="shared" si="60"/>
        <v>3245.4520563464739</v>
      </c>
      <c r="D530" s="658">
        <f t="shared" si="60"/>
        <v>3725.4589500000002</v>
      </c>
      <c r="E530" s="660">
        <f t="shared" si="60"/>
        <v>6171.8960615078704</v>
      </c>
      <c r="F530" s="658">
        <f t="shared" si="60"/>
        <v>3502.5412799999999</v>
      </c>
      <c r="G530" s="660">
        <f t="shared" si="60"/>
        <v>5192.124376356931</v>
      </c>
      <c r="H530" s="658">
        <f t="shared" si="60"/>
        <v>1731.55503</v>
      </c>
      <c r="I530" s="659">
        <f t="shared" si="60"/>
        <v>2514.7831080404203</v>
      </c>
      <c r="J530" s="658">
        <f t="shared" si="60"/>
        <v>1348.63903</v>
      </c>
      <c r="K530" s="659">
        <f t="shared" si="60"/>
        <v>1936.0938255579786</v>
      </c>
      <c r="L530" s="658">
        <f t="shared" si="60"/>
        <v>12238.06819</v>
      </c>
      <c r="M530" s="661">
        <f t="shared" si="60"/>
        <v>19060.349427809673</v>
      </c>
      <c r="N530" s="527"/>
      <c r="O530" s="527"/>
    </row>
    <row r="531" spans="1:15">
      <c r="A531" s="178"/>
      <c r="B531" s="180"/>
      <c r="C531" s="181"/>
      <c r="D531" s="180"/>
      <c r="E531" s="181"/>
      <c r="F531" s="180"/>
      <c r="G531" s="181"/>
      <c r="H531" s="180"/>
      <c r="I531" s="181"/>
      <c r="J531" s="180"/>
      <c r="K531" s="181"/>
      <c r="L531" s="180"/>
      <c r="M531" s="181"/>
    </row>
    <row r="532" spans="1:15" ht="29.25" customHeight="1" thickBot="1">
      <c r="A532" s="1204" t="s">
        <v>879</v>
      </c>
      <c r="B532" s="1204"/>
      <c r="C532" s="1204"/>
      <c r="D532" s="1204"/>
      <c r="E532" s="1204"/>
      <c r="F532" s="527"/>
    </row>
    <row r="533" spans="1:15" ht="15" customHeight="1" thickBot="1">
      <c r="A533" s="669" t="s">
        <v>183</v>
      </c>
      <c r="B533" s="1196" t="s">
        <v>535</v>
      </c>
      <c r="C533" s="1197"/>
      <c r="D533" s="1196" t="s">
        <v>536</v>
      </c>
      <c r="E533" s="1203"/>
      <c r="F533" s="527"/>
      <c r="G533" s="182"/>
    </row>
    <row r="534" spans="1:15" ht="18" customHeight="1">
      <c r="A534" s="670" t="s">
        <v>519</v>
      </c>
      <c r="B534" s="671">
        <f t="shared" ref="B534:B542" si="61">(L522/L474)-1</f>
        <v>0</v>
      </c>
      <c r="C534" s="671">
        <f t="shared" ref="C534:C542" si="62">(M522/M474)-1</f>
        <v>-1.5516724180023478E-2</v>
      </c>
      <c r="D534" s="663">
        <f t="shared" ref="D534:D542" si="63">L522-L474</f>
        <v>0</v>
      </c>
      <c r="E534" s="664">
        <f t="shared" ref="E534:E542" si="64">M522-M474</f>
        <v>-0.19448418859885841</v>
      </c>
      <c r="F534" s="662"/>
      <c r="G534" s="1192" t="s">
        <v>880</v>
      </c>
      <c r="H534" s="1193"/>
      <c r="I534" s="1193"/>
    </row>
    <row r="535" spans="1:15">
      <c r="A535" s="670" t="s">
        <v>520</v>
      </c>
      <c r="B535" s="671">
        <f t="shared" si="61"/>
        <v>0</v>
      </c>
      <c r="C535" s="671">
        <f t="shared" si="62"/>
        <v>-2.6988588421071436E-2</v>
      </c>
      <c r="D535" s="665">
        <f t="shared" si="63"/>
        <v>0</v>
      </c>
      <c r="E535" s="666">
        <f t="shared" si="64"/>
        <v>-189.98391390419874</v>
      </c>
      <c r="F535" s="662"/>
      <c r="G535" s="1193"/>
      <c r="H535" s="1193"/>
      <c r="I535" s="1193"/>
    </row>
    <row r="536" spans="1:15">
      <c r="A536" s="670" t="s">
        <v>521</v>
      </c>
      <c r="B536" s="671">
        <f t="shared" si="61"/>
        <v>0</v>
      </c>
      <c r="C536" s="671">
        <f t="shared" si="62"/>
        <v>-2.0268222142847847E-2</v>
      </c>
      <c r="D536" s="665">
        <f t="shared" si="63"/>
        <v>0</v>
      </c>
      <c r="E536" s="666">
        <f t="shared" si="64"/>
        <v>-24.846596244656894</v>
      </c>
      <c r="F536" s="662"/>
      <c r="G536" s="1193"/>
      <c r="H536" s="1193"/>
      <c r="I536" s="1193"/>
    </row>
    <row r="537" spans="1:15">
      <c r="A537" s="670" t="s">
        <v>522</v>
      </c>
      <c r="B537" s="671">
        <f t="shared" si="61"/>
        <v>0</v>
      </c>
      <c r="C537" s="671">
        <f t="shared" si="62"/>
        <v>-1.688393635387897E-2</v>
      </c>
      <c r="D537" s="665">
        <f t="shared" si="63"/>
        <v>0</v>
      </c>
      <c r="E537" s="666">
        <f t="shared" si="64"/>
        <v>-33.628828202358591</v>
      </c>
      <c r="F537" s="662"/>
      <c r="G537" s="1193"/>
      <c r="H537" s="1193"/>
      <c r="I537" s="1193"/>
    </row>
    <row r="538" spans="1:15">
      <c r="A538" s="670" t="s">
        <v>523</v>
      </c>
      <c r="B538" s="671">
        <f t="shared" si="61"/>
        <v>0</v>
      </c>
      <c r="C538" s="671">
        <f t="shared" si="62"/>
        <v>-1.6887562489081076E-2</v>
      </c>
      <c r="D538" s="665">
        <f t="shared" si="63"/>
        <v>0</v>
      </c>
      <c r="E538" s="666">
        <f t="shared" si="64"/>
        <v>-20.657118322978249</v>
      </c>
      <c r="F538" s="662"/>
      <c r="G538" s="1193"/>
      <c r="H538" s="1193"/>
      <c r="I538" s="1193"/>
    </row>
    <row r="539" spans="1:15">
      <c r="A539" s="670" t="s">
        <v>524</v>
      </c>
      <c r="B539" s="671">
        <f t="shared" si="61"/>
        <v>0</v>
      </c>
      <c r="C539" s="671">
        <f t="shared" si="62"/>
        <v>-2.6975853568666608E-2</v>
      </c>
      <c r="D539" s="665">
        <f t="shared" si="63"/>
        <v>0</v>
      </c>
      <c r="E539" s="666">
        <f t="shared" si="64"/>
        <v>-3.1765017811761851</v>
      </c>
      <c r="F539" s="662"/>
      <c r="G539" s="1193"/>
      <c r="H539" s="1193"/>
      <c r="I539" s="1193"/>
    </row>
    <row r="540" spans="1:15">
      <c r="A540" s="670" t="s">
        <v>525</v>
      </c>
      <c r="B540" s="671">
        <f t="shared" si="61"/>
        <v>0</v>
      </c>
      <c r="C540" s="671">
        <f t="shared" si="62"/>
        <v>-1.2139317064590704E-2</v>
      </c>
      <c r="D540" s="665">
        <f t="shared" si="63"/>
        <v>0</v>
      </c>
      <c r="E540" s="666">
        <f t="shared" si="64"/>
        <v>-16.98779303800211</v>
      </c>
      <c r="F540" s="662"/>
      <c r="G540" s="1193"/>
      <c r="H540" s="1193"/>
      <c r="I540" s="1193"/>
    </row>
    <row r="541" spans="1:15">
      <c r="A541" s="670" t="s">
        <v>106</v>
      </c>
      <c r="B541" s="671">
        <f t="shared" si="61"/>
        <v>0</v>
      </c>
      <c r="C541" s="671">
        <f t="shared" si="62"/>
        <v>-1.5518238314383592E-2</v>
      </c>
      <c r="D541" s="665">
        <f t="shared" si="63"/>
        <v>0</v>
      </c>
      <c r="E541" s="666">
        <f t="shared" si="64"/>
        <v>-99.934092544800478</v>
      </c>
      <c r="F541" s="662"/>
      <c r="G541" s="1193"/>
      <c r="H541" s="1193"/>
      <c r="I541" s="1193"/>
    </row>
    <row r="542" spans="1:15" ht="15.75" thickBot="1">
      <c r="A542" s="672" t="s">
        <v>193</v>
      </c>
      <c r="B542" s="673">
        <f t="shared" si="61"/>
        <v>0</v>
      </c>
      <c r="C542" s="674">
        <f t="shared" si="62"/>
        <v>-2.0021293482928915E-2</v>
      </c>
      <c r="D542" s="667">
        <f t="shared" si="63"/>
        <v>0</v>
      </c>
      <c r="E542" s="668">
        <f t="shared" si="64"/>
        <v>-389.40932822677132</v>
      </c>
      <c r="F542" s="662"/>
      <c r="G542" s="1193"/>
      <c r="H542" s="1193"/>
      <c r="I542" s="1193"/>
    </row>
    <row r="543" spans="1:15" s="188" customFormat="1">
      <c r="A543" s="178"/>
      <c r="B543" s="183"/>
      <c r="C543" s="184"/>
      <c r="D543" s="185"/>
      <c r="E543" s="185"/>
      <c r="F543" s="186"/>
      <c r="G543" s="187"/>
      <c r="H543" s="187"/>
      <c r="I543" s="187"/>
    </row>
    <row r="544" spans="1:15" s="188" customFormat="1" ht="14.1" customHeight="1">
      <c r="A544" s="1040" t="s">
        <v>831</v>
      </c>
      <c r="B544" s="1041"/>
      <c r="C544" s="1041"/>
      <c r="D544" s="1041"/>
      <c r="E544" s="1041"/>
      <c r="F544" s="1041"/>
      <c r="G544" s="1041"/>
      <c r="H544" s="1041"/>
      <c r="I544" s="1041"/>
      <c r="J544" s="1041"/>
      <c r="K544" s="1041"/>
      <c r="L544" s="1041"/>
    </row>
    <row r="545" spans="1:13" s="188" customFormat="1">
      <c r="A545" s="1041"/>
      <c r="B545" s="1041"/>
      <c r="C545" s="1041"/>
      <c r="D545" s="1041"/>
      <c r="E545" s="1041"/>
      <c r="F545" s="1041"/>
      <c r="G545" s="1041"/>
      <c r="H545" s="1041"/>
      <c r="I545" s="1041"/>
      <c r="J545" s="1041"/>
      <c r="K545" s="1041"/>
      <c r="L545" s="1041"/>
    </row>
    <row r="546" spans="1:13" s="188" customFormat="1">
      <c r="A546" s="1041"/>
      <c r="B546" s="1041"/>
      <c r="C546" s="1041"/>
      <c r="D546" s="1041"/>
      <c r="E546" s="1041"/>
      <c r="F546" s="1041"/>
      <c r="G546" s="1041"/>
      <c r="H546" s="1041"/>
      <c r="I546" s="1041"/>
      <c r="J546" s="1041"/>
      <c r="K546" s="1041"/>
      <c r="L546" s="1041"/>
    </row>
    <row r="547" spans="1:13" s="188" customFormat="1">
      <c r="A547" s="1041"/>
      <c r="B547" s="1041"/>
      <c r="C547" s="1041"/>
      <c r="D547" s="1041"/>
      <c r="E547" s="1041"/>
      <c r="F547" s="1041"/>
      <c r="G547" s="1041"/>
      <c r="H547" s="1041"/>
      <c r="I547" s="1041"/>
      <c r="J547" s="1041"/>
      <c r="K547" s="1041"/>
      <c r="L547" s="1041"/>
    </row>
    <row r="548" spans="1:13" s="188" customFormat="1">
      <c r="A548" s="1041"/>
      <c r="B548" s="1041"/>
      <c r="C548" s="1041"/>
      <c r="D548" s="1041"/>
      <c r="E548" s="1041"/>
      <c r="F548" s="1041"/>
      <c r="G548" s="1041"/>
      <c r="H548" s="1041"/>
      <c r="I548" s="1041"/>
      <c r="J548" s="1041"/>
      <c r="K548" s="1041"/>
      <c r="L548" s="1041"/>
    </row>
    <row r="549" spans="1:13" s="188" customFormat="1">
      <c r="A549" s="1041"/>
      <c r="B549" s="1041"/>
      <c r="C549" s="1041"/>
      <c r="D549" s="1041"/>
      <c r="E549" s="1041"/>
      <c r="F549" s="1041"/>
      <c r="G549" s="1041"/>
      <c r="H549" s="1041"/>
      <c r="I549" s="1041"/>
      <c r="J549" s="1041"/>
      <c r="K549" s="1041"/>
      <c r="L549" s="1041"/>
    </row>
    <row r="550" spans="1:13" s="188" customFormat="1">
      <c r="A550" s="1041"/>
      <c r="B550" s="1041"/>
      <c r="C550" s="1041"/>
      <c r="D550" s="1041"/>
      <c r="E550" s="1041"/>
      <c r="F550" s="1041"/>
      <c r="G550" s="1041"/>
      <c r="H550" s="1041"/>
      <c r="I550" s="1041"/>
      <c r="J550" s="1041"/>
      <c r="K550" s="1041"/>
      <c r="L550" s="1041"/>
    </row>
    <row r="551" spans="1:13" s="188" customFormat="1">
      <c r="A551" s="1041"/>
      <c r="B551" s="1041"/>
      <c r="C551" s="1041"/>
      <c r="D551" s="1041"/>
      <c r="E551" s="1041"/>
      <c r="F551" s="1041"/>
      <c r="G551" s="1041"/>
      <c r="H551" s="1041"/>
      <c r="I551" s="1041"/>
      <c r="J551" s="1041"/>
      <c r="K551" s="1041"/>
      <c r="L551" s="1041"/>
    </row>
    <row r="552" spans="1:13" s="188" customFormat="1">
      <c r="A552" s="1041"/>
      <c r="B552" s="1041"/>
      <c r="C552" s="1041"/>
      <c r="D552" s="1041"/>
      <c r="E552" s="1041"/>
      <c r="F552" s="1041"/>
      <c r="G552" s="1041"/>
      <c r="H552" s="1041"/>
      <c r="I552" s="1041"/>
      <c r="J552" s="1041"/>
      <c r="K552" s="1041"/>
      <c r="L552" s="1041"/>
    </row>
    <row r="553" spans="1:13" s="188" customFormat="1" ht="15.75" thickBot="1">
      <c r="A553" s="636" t="s">
        <v>832</v>
      </c>
      <c r="B553" s="529"/>
      <c r="C553" s="529"/>
      <c r="D553" s="529"/>
      <c r="E553" s="529"/>
      <c r="F553" s="529"/>
      <c r="G553" s="529"/>
      <c r="H553" s="529"/>
      <c r="I553" s="529"/>
      <c r="J553" s="529"/>
      <c r="K553" s="529"/>
      <c r="L553" s="529"/>
      <c r="M553" s="650"/>
    </row>
    <row r="554" spans="1:13" s="188" customFormat="1" ht="33" thickBot="1">
      <c r="A554" s="679" t="s">
        <v>881</v>
      </c>
      <c r="B554" s="583">
        <v>2000</v>
      </c>
      <c r="C554" s="583">
        <v>2001</v>
      </c>
      <c r="D554" s="583">
        <v>2002</v>
      </c>
      <c r="E554" s="583">
        <v>2003</v>
      </c>
      <c r="F554" s="583">
        <v>2004</v>
      </c>
      <c r="G554" s="583">
        <v>2005</v>
      </c>
      <c r="H554" s="583">
        <v>2006</v>
      </c>
      <c r="I554" s="583">
        <v>2007</v>
      </c>
      <c r="J554" s="583">
        <v>2008</v>
      </c>
      <c r="K554" s="583">
        <v>2009</v>
      </c>
      <c r="L554" s="583">
        <v>2010</v>
      </c>
      <c r="M554" s="650"/>
    </row>
    <row r="555" spans="1:13" s="188" customFormat="1">
      <c r="A555" s="680" t="s">
        <v>525</v>
      </c>
      <c r="B555" s="594">
        <v>61</v>
      </c>
      <c r="C555" s="594">
        <v>64</v>
      </c>
      <c r="D555" s="594">
        <v>66</v>
      </c>
      <c r="E555" s="594">
        <v>64</v>
      </c>
      <c r="F555" s="594">
        <v>68</v>
      </c>
      <c r="G555" s="594">
        <v>70</v>
      </c>
      <c r="H555" s="594">
        <v>71</v>
      </c>
      <c r="I555" s="594">
        <v>75</v>
      </c>
      <c r="J555" s="594">
        <v>72</v>
      </c>
      <c r="K555" s="594">
        <v>78</v>
      </c>
      <c r="L555" s="594">
        <v>95</v>
      </c>
      <c r="M555" s="650"/>
    </row>
    <row r="556" spans="1:13" s="188" customFormat="1">
      <c r="A556" s="680" t="s">
        <v>594</v>
      </c>
      <c r="B556" s="594">
        <v>72</v>
      </c>
      <c r="C556" s="594">
        <v>75</v>
      </c>
      <c r="D556" s="594">
        <v>80</v>
      </c>
      <c r="E556" s="594">
        <v>84</v>
      </c>
      <c r="F556" s="594">
        <v>86</v>
      </c>
      <c r="G556" s="594">
        <v>87</v>
      </c>
      <c r="H556" s="594">
        <v>91</v>
      </c>
      <c r="I556" s="594">
        <v>95</v>
      </c>
      <c r="J556" s="594">
        <v>101</v>
      </c>
      <c r="K556" s="594">
        <v>96</v>
      </c>
      <c r="L556" s="594">
        <v>103</v>
      </c>
      <c r="M556" s="650"/>
    </row>
    <row r="557" spans="1:13" s="188" customFormat="1">
      <c r="A557" s="680" t="s">
        <v>95</v>
      </c>
      <c r="B557" s="594">
        <v>294</v>
      </c>
      <c r="C557" s="594">
        <v>303</v>
      </c>
      <c r="D557" s="594">
        <v>309</v>
      </c>
      <c r="E557" s="594">
        <v>311</v>
      </c>
      <c r="F557" s="594">
        <v>338</v>
      </c>
      <c r="G557" s="594">
        <v>343</v>
      </c>
      <c r="H557" s="594">
        <v>351</v>
      </c>
      <c r="I557" s="594">
        <v>370</v>
      </c>
      <c r="J557" s="594">
        <v>385</v>
      </c>
      <c r="K557" s="594">
        <v>358</v>
      </c>
      <c r="L557" s="594">
        <v>386</v>
      </c>
      <c r="M557" s="650"/>
    </row>
    <row r="558" spans="1:13" s="188" customFormat="1" ht="13.5" customHeight="1">
      <c r="A558" s="680" t="s">
        <v>595</v>
      </c>
      <c r="B558" s="594">
        <v>946</v>
      </c>
      <c r="C558" s="594">
        <v>985</v>
      </c>
      <c r="D558" s="594">
        <v>1010</v>
      </c>
      <c r="E558" s="594">
        <v>1020</v>
      </c>
      <c r="F558" s="594">
        <v>1073</v>
      </c>
      <c r="G558" s="594">
        <v>1113</v>
      </c>
      <c r="H558" s="594">
        <v>1165</v>
      </c>
      <c r="I558" s="594">
        <v>1241</v>
      </c>
      <c r="J558" s="594">
        <v>1314</v>
      </c>
      <c r="K558" s="594">
        <v>1329</v>
      </c>
      <c r="L558" s="594">
        <v>1413</v>
      </c>
      <c r="M558" s="650"/>
    </row>
    <row r="559" spans="1:13" s="188" customFormat="1" ht="15.75" thickBot="1">
      <c r="A559" s="681" t="s">
        <v>596</v>
      </c>
      <c r="B559" s="595">
        <v>59</v>
      </c>
      <c r="C559" s="595">
        <v>62</v>
      </c>
      <c r="D559" s="595">
        <v>64</v>
      </c>
      <c r="E559" s="595">
        <v>67</v>
      </c>
      <c r="F559" s="595">
        <v>69</v>
      </c>
      <c r="G559" s="595">
        <v>72</v>
      </c>
      <c r="H559" s="595">
        <v>74</v>
      </c>
      <c r="I559" s="595">
        <v>77</v>
      </c>
      <c r="J559" s="595">
        <v>82</v>
      </c>
      <c r="K559" s="595">
        <v>82</v>
      </c>
      <c r="L559" s="595">
        <v>95</v>
      </c>
      <c r="M559" s="650"/>
    </row>
    <row r="560" spans="1:13" s="188" customFormat="1" ht="15.75" thickBot="1">
      <c r="A560" s="681"/>
      <c r="B560" s="595"/>
      <c r="C560" s="595"/>
      <c r="D560" s="595"/>
      <c r="E560" s="595"/>
      <c r="F560" s="595"/>
      <c r="G560" s="595"/>
      <c r="H560" s="595"/>
      <c r="I560" s="595"/>
      <c r="J560" s="595"/>
      <c r="K560" s="595"/>
      <c r="L560" s="595"/>
      <c r="M560" s="650"/>
    </row>
    <row r="561" spans="1:13" s="188" customFormat="1" ht="18" thickBot="1">
      <c r="A561" s="681" t="s">
        <v>882</v>
      </c>
      <c r="B561" s="595">
        <v>2000</v>
      </c>
      <c r="C561" s="595">
        <v>2001</v>
      </c>
      <c r="D561" s="595">
        <v>2002</v>
      </c>
      <c r="E561" s="595">
        <v>2003</v>
      </c>
      <c r="F561" s="595">
        <v>2004</v>
      </c>
      <c r="G561" s="595">
        <v>2005</v>
      </c>
      <c r="H561" s="595">
        <v>2006</v>
      </c>
      <c r="I561" s="595">
        <v>2007</v>
      </c>
      <c r="J561" s="595">
        <v>2008</v>
      </c>
      <c r="K561" s="595">
        <v>2009</v>
      </c>
      <c r="L561" s="595">
        <v>2010</v>
      </c>
      <c r="M561" s="650"/>
    </row>
    <row r="562" spans="1:13" s="188" customFormat="1">
      <c r="A562" s="680" t="s">
        <v>525</v>
      </c>
      <c r="B562" s="594">
        <v>47.4</v>
      </c>
      <c r="C562" s="594">
        <v>47.8</v>
      </c>
      <c r="D562" s="594">
        <v>49.2</v>
      </c>
      <c r="E562" s="594">
        <v>48.2</v>
      </c>
      <c r="F562" s="594">
        <v>51.5</v>
      </c>
      <c r="G562" s="594">
        <v>52.5</v>
      </c>
      <c r="H562" s="594">
        <v>53.3</v>
      </c>
      <c r="I562" s="594">
        <v>57.6</v>
      </c>
      <c r="J562" s="594">
        <v>62.4</v>
      </c>
      <c r="K562" s="594">
        <v>62.7</v>
      </c>
      <c r="L562" s="594">
        <v>69.400000000000006</v>
      </c>
      <c r="M562" s="650"/>
    </row>
    <row r="563" spans="1:13" s="188" customFormat="1">
      <c r="A563" s="680" t="s">
        <v>594</v>
      </c>
      <c r="B563" s="594">
        <v>7.3</v>
      </c>
      <c r="C563" s="594">
        <v>7.7</v>
      </c>
      <c r="D563" s="594">
        <v>7.8</v>
      </c>
      <c r="E563" s="594">
        <v>8.1999999999999993</v>
      </c>
      <c r="F563" s="594">
        <v>8.3000000000000007</v>
      </c>
      <c r="G563" s="594">
        <v>8.4</v>
      </c>
      <c r="H563" s="594">
        <v>8.6</v>
      </c>
      <c r="I563" s="594">
        <v>9.1</v>
      </c>
      <c r="J563" s="594">
        <v>9.9</v>
      </c>
      <c r="K563" s="594">
        <v>9.5</v>
      </c>
      <c r="L563" s="594">
        <v>9.9</v>
      </c>
      <c r="M563" s="650"/>
    </row>
    <row r="564" spans="1:13" s="188" customFormat="1">
      <c r="A564" s="680" t="s">
        <v>95</v>
      </c>
      <c r="B564" s="594">
        <v>61.2</v>
      </c>
      <c r="C564" s="594">
        <v>61.5</v>
      </c>
      <c r="D564" s="594">
        <v>65.400000000000006</v>
      </c>
      <c r="E564" s="594">
        <v>68.400000000000006</v>
      </c>
      <c r="F564" s="594">
        <v>72.2</v>
      </c>
      <c r="G564" s="594">
        <v>73.5</v>
      </c>
      <c r="H564" s="594">
        <v>76.8</v>
      </c>
      <c r="I564" s="594">
        <v>81.900000000000006</v>
      </c>
      <c r="J564" s="594">
        <v>82.3</v>
      </c>
      <c r="K564" s="594">
        <v>76.400000000000006</v>
      </c>
      <c r="L564" s="594">
        <v>85.7</v>
      </c>
      <c r="M564" s="650"/>
    </row>
    <row r="565" spans="1:13" s="188" customFormat="1" ht="11.25" customHeight="1">
      <c r="A565" s="680" t="s">
        <v>595</v>
      </c>
      <c r="B565" s="594">
        <v>8.1999999999999993</v>
      </c>
      <c r="C565" s="594">
        <v>7.9</v>
      </c>
      <c r="D565" s="594">
        <v>8.1</v>
      </c>
      <c r="E565" s="594">
        <v>8.1999999999999993</v>
      </c>
      <c r="F565" s="594">
        <v>8.5</v>
      </c>
      <c r="G565" s="594">
        <v>8.9</v>
      </c>
      <c r="H565" s="594">
        <v>9.1</v>
      </c>
      <c r="I565" s="594">
        <v>9.5</v>
      </c>
      <c r="J565" s="594">
        <v>9.8000000000000007</v>
      </c>
      <c r="K565" s="594">
        <v>10</v>
      </c>
      <c r="L565" s="594">
        <v>10.199999999999999</v>
      </c>
      <c r="M565" s="650"/>
    </row>
    <row r="566" spans="1:13" s="188" customFormat="1" ht="16.5" customHeight="1" thickBot="1">
      <c r="A566" s="681" t="s">
        <v>596</v>
      </c>
      <c r="B566" s="595">
        <v>12.8</v>
      </c>
      <c r="C566" s="595">
        <v>13.6</v>
      </c>
      <c r="D566" s="595">
        <v>14.4</v>
      </c>
      <c r="E566" s="595">
        <v>15.8</v>
      </c>
      <c r="F566" s="595">
        <v>16.399999999999999</v>
      </c>
      <c r="G566" s="595">
        <v>17.600000000000001</v>
      </c>
      <c r="H566" s="595">
        <v>18.8</v>
      </c>
      <c r="I566" s="595">
        <v>21</v>
      </c>
      <c r="J566" s="595">
        <v>24.5</v>
      </c>
      <c r="K566" s="595">
        <v>24.4</v>
      </c>
      <c r="L566" s="595">
        <v>25.3</v>
      </c>
      <c r="M566" s="650"/>
    </row>
    <row r="567" spans="1:13" s="188" customFormat="1" ht="15.75" thickBot="1">
      <c r="A567" s="635"/>
      <c r="B567" s="682"/>
      <c r="C567" s="683"/>
      <c r="D567" s="675"/>
      <c r="E567" s="675"/>
      <c r="F567" s="676"/>
      <c r="G567" s="684"/>
      <c r="H567" s="684"/>
      <c r="I567" s="684"/>
      <c r="J567" s="650"/>
      <c r="K567" s="650"/>
      <c r="L567" s="650"/>
      <c r="M567" s="650"/>
    </row>
    <row r="568" spans="1:13" s="188" customFormat="1" ht="30.75" thickBot="1">
      <c r="A568" s="685" t="s">
        <v>525</v>
      </c>
      <c r="B568" s="686" t="s">
        <v>603</v>
      </c>
      <c r="C568" s="686" t="s">
        <v>605</v>
      </c>
      <c r="D568" s="687" t="s">
        <v>599</v>
      </c>
      <c r="E568" s="686" t="s">
        <v>597</v>
      </c>
      <c r="F568" s="686" t="s">
        <v>598</v>
      </c>
      <c r="G568" s="686" t="s">
        <v>607</v>
      </c>
      <c r="H568" s="686" t="s">
        <v>608</v>
      </c>
      <c r="I568" s="686" t="s">
        <v>609</v>
      </c>
      <c r="J568" s="688" t="s">
        <v>613</v>
      </c>
      <c r="K568" s="688" t="s">
        <v>614</v>
      </c>
      <c r="L568" s="689" t="s">
        <v>617</v>
      </c>
      <c r="M568" s="650"/>
    </row>
    <row r="569" spans="1:13" s="188" customFormat="1">
      <c r="A569" s="690" t="s">
        <v>298</v>
      </c>
      <c r="B569" s="682" t="s">
        <v>604</v>
      </c>
      <c r="C569" s="682" t="s">
        <v>606</v>
      </c>
      <c r="D569" s="675" t="s">
        <v>602</v>
      </c>
      <c r="E569" s="682" t="s">
        <v>600</v>
      </c>
      <c r="F569" s="683" t="s">
        <v>601</v>
      </c>
      <c r="G569" s="683" t="s">
        <v>610</v>
      </c>
      <c r="H569" s="683" t="s">
        <v>611</v>
      </c>
      <c r="I569" s="683" t="s">
        <v>612</v>
      </c>
      <c r="J569" s="691" t="s">
        <v>616</v>
      </c>
      <c r="K569" s="691" t="s">
        <v>615</v>
      </c>
      <c r="L569" s="692" t="s">
        <v>618</v>
      </c>
      <c r="M569" s="677"/>
    </row>
    <row r="570" spans="1:13" s="188" customFormat="1">
      <c r="A570" s="693">
        <v>2000</v>
      </c>
      <c r="B570" s="596">
        <v>47.4</v>
      </c>
      <c r="C570" s="596">
        <v>61</v>
      </c>
      <c r="D570" s="694">
        <f>SUM($B$555:$B$559)</f>
        <v>1432</v>
      </c>
      <c r="E570" s="695">
        <f t="shared" ref="E570:E580" si="65">B570/C570</f>
        <v>0.77704918032786885</v>
      </c>
      <c r="F570" s="695">
        <f t="shared" ref="F570:F580" si="66">C570/D570</f>
        <v>4.2597765363128488E-2</v>
      </c>
      <c r="G570" s="696">
        <v>0</v>
      </c>
      <c r="H570" s="696">
        <v>0</v>
      </c>
      <c r="I570" s="696">
        <v>0</v>
      </c>
      <c r="J570" s="697">
        <v>0</v>
      </c>
      <c r="K570" s="697">
        <v>0</v>
      </c>
      <c r="L570" s="698">
        <v>0</v>
      </c>
      <c r="M570" s="677"/>
    </row>
    <row r="571" spans="1:13" s="188" customFormat="1">
      <c r="A571" s="693">
        <v>2001</v>
      </c>
      <c r="B571" s="596">
        <v>47.8</v>
      </c>
      <c r="C571" s="596">
        <v>64</v>
      </c>
      <c r="D571" s="694">
        <f>SUM($C$555:$C$559)</f>
        <v>1489</v>
      </c>
      <c r="E571" s="695">
        <f t="shared" si="65"/>
        <v>0.74687499999999996</v>
      </c>
      <c r="F571" s="695">
        <f t="shared" si="66"/>
        <v>4.2981867024848894E-2</v>
      </c>
      <c r="G571" s="696">
        <f>LOG((D571/D570),10)</f>
        <v>1.6951679780339349E-2</v>
      </c>
      <c r="H571" s="696">
        <f>LOG((E571/E570),10)</f>
        <v>-1.7200584035086338E-2</v>
      </c>
      <c r="I571" s="696">
        <f>LOG((F571/F570),10)</f>
        <v>3.8984591927808429E-3</v>
      </c>
      <c r="J571" s="697">
        <f>(D571-D570)*((G571)/(SUM(G571:I571)))</f>
        <v>264.75714542877773</v>
      </c>
      <c r="K571" s="697">
        <f t="shared" ref="K571:K580" si="67">(B571-B570)*((H571)/(SUM(G571:I571)))</f>
        <v>-1.8852253852468757</v>
      </c>
      <c r="L571" s="698">
        <f>(C571-C570)*((I571)/(SUM(G571:I571)))</f>
        <v>3.2046037878370028</v>
      </c>
      <c r="M571" s="677"/>
    </row>
    <row r="572" spans="1:13" s="188" customFormat="1">
      <c r="A572" s="693">
        <v>2002</v>
      </c>
      <c r="B572" s="596">
        <v>49.2</v>
      </c>
      <c r="C572" s="596">
        <v>66</v>
      </c>
      <c r="D572" s="694">
        <f>SUM($D$555:$D$559)</f>
        <v>1529</v>
      </c>
      <c r="E572" s="695">
        <f t="shared" si="65"/>
        <v>0.74545454545454548</v>
      </c>
      <c r="F572" s="695">
        <f t="shared" si="66"/>
        <v>4.3165467625899283E-2</v>
      </c>
      <c r="G572" s="696">
        <f t="shared" ref="G572:G580" si="68">LOG((D572/D571),10)</f>
        <v>1.1512787660144016E-2</v>
      </c>
      <c r="H572" s="696">
        <f t="shared" ref="H572:H580" si="69">LOG((E572/E571),10)</f>
        <v>-8.2675540274000268E-4</v>
      </c>
      <c r="I572" s="696">
        <f t="shared" ref="I572:I580" si="70">LOG((F572/F571),10)</f>
        <v>1.8511738978375031E-3</v>
      </c>
      <c r="J572" s="697">
        <f t="shared" ref="J572:J580" si="71">(D572-D571)*((G572)/(SUM(G572:I572)))</f>
        <v>36.73158921561096</v>
      </c>
      <c r="K572" s="697">
        <f t="shared" si="67"/>
        <v>-9.2321809939457863E-2</v>
      </c>
      <c r="L572" s="698">
        <f t="shared" ref="L572:L580" si="72">(C572-C571)*((I572)/(SUM(G572:I572)))</f>
        <v>0.29530883913296269</v>
      </c>
      <c r="M572" s="677"/>
    </row>
    <row r="573" spans="1:13" s="188" customFormat="1">
      <c r="A573" s="693">
        <v>2003</v>
      </c>
      <c r="B573" s="596">
        <v>48.2</v>
      </c>
      <c r="C573" s="596">
        <v>64</v>
      </c>
      <c r="D573" s="694">
        <f>SUM($E$555:$E$559)</f>
        <v>1546</v>
      </c>
      <c r="E573" s="695">
        <f t="shared" si="65"/>
        <v>0.75312500000000004</v>
      </c>
      <c r="F573" s="695">
        <f t="shared" si="66"/>
        <v>4.1397153945666239E-2</v>
      </c>
      <c r="G573" s="696">
        <f t="shared" si="68"/>
        <v>4.8020041699860221E-3</v>
      </c>
      <c r="H573" s="696">
        <f t="shared" si="69"/>
        <v>4.4458970294707452E-3</v>
      </c>
      <c r="I573" s="696">
        <f t="shared" si="70"/>
        <v>-1.8165965727967495E-2</v>
      </c>
      <c r="J573" s="697">
        <f t="shared" si="71"/>
        <v>-9.1537878682959981</v>
      </c>
      <c r="K573" s="697">
        <f t="shared" si="67"/>
        <v>0.49852712045953179</v>
      </c>
      <c r="L573" s="698">
        <f t="shared" si="72"/>
        <v>-4.0739704607185923</v>
      </c>
      <c r="M573" s="677"/>
    </row>
    <row r="574" spans="1:13" s="188" customFormat="1">
      <c r="A574" s="693">
        <v>2004</v>
      </c>
      <c r="B574" s="596">
        <v>51.5</v>
      </c>
      <c r="C574" s="596">
        <v>68</v>
      </c>
      <c r="D574" s="694">
        <f>SUM($F$555:$F$559)</f>
        <v>1634</v>
      </c>
      <c r="E574" s="695">
        <f t="shared" si="65"/>
        <v>0.75735294117647056</v>
      </c>
      <c r="F574" s="695">
        <f t="shared" si="66"/>
        <v>4.1615667074663402E-2</v>
      </c>
      <c r="G574" s="696">
        <f t="shared" si="68"/>
        <v>2.4042562614090615E-2</v>
      </c>
      <c r="H574" s="696">
        <f t="shared" si="69"/>
        <v>2.4312520799922742E-3</v>
      </c>
      <c r="I574" s="696">
        <f t="shared" si="70"/>
        <v>2.2863761082585195E-3</v>
      </c>
      <c r="J574" s="697">
        <f t="shared" si="71"/>
        <v>73.565072101946143</v>
      </c>
      <c r="K574" s="697">
        <f t="shared" si="67"/>
        <v>0.27896657289635651</v>
      </c>
      <c r="L574" s="698">
        <f t="shared" si="72"/>
        <v>0.31799178579474269</v>
      </c>
      <c r="M574" s="677"/>
    </row>
    <row r="575" spans="1:13" s="188" customFormat="1">
      <c r="A575" s="693">
        <v>2005</v>
      </c>
      <c r="B575" s="596">
        <v>52.5</v>
      </c>
      <c r="C575" s="596">
        <v>70</v>
      </c>
      <c r="D575" s="694">
        <f>SUM($G$555:$G$559)</f>
        <v>1685</v>
      </c>
      <c r="E575" s="695">
        <f t="shared" si="65"/>
        <v>0.75</v>
      </c>
      <c r="F575" s="695">
        <f t="shared" si="66"/>
        <v>4.1543026706231452E-2</v>
      </c>
      <c r="G575" s="696">
        <f t="shared" si="68"/>
        <v>1.3347853010960789E-2</v>
      </c>
      <c r="H575" s="696">
        <f t="shared" si="69"/>
        <v>-4.2370529432546418E-3</v>
      </c>
      <c r="I575" s="696">
        <f t="shared" si="70"/>
        <v>-7.5872570294024228E-4</v>
      </c>
      <c r="J575" s="697">
        <f t="shared" si="71"/>
        <v>81.505560634226981</v>
      </c>
      <c r="K575" s="697">
        <f t="shared" si="67"/>
        <v>-0.50730546187772108</v>
      </c>
      <c r="L575" s="698">
        <f t="shared" si="72"/>
        <v>-0.18168557170443922</v>
      </c>
      <c r="M575" s="677"/>
    </row>
    <row r="576" spans="1:13" s="188" customFormat="1">
      <c r="A576" s="693">
        <v>2006</v>
      </c>
      <c r="B576" s="596">
        <v>53.3</v>
      </c>
      <c r="C576" s="596">
        <v>71</v>
      </c>
      <c r="D576" s="694">
        <f>SUM($H$555:$H$559)</f>
        <v>1752</v>
      </c>
      <c r="E576" s="695">
        <f t="shared" si="65"/>
        <v>0.75070422535211268</v>
      </c>
      <c r="F576" s="695">
        <f t="shared" si="66"/>
        <v>4.0525114155251139E-2</v>
      </c>
      <c r="G576" s="696">
        <f t="shared" si="68"/>
        <v>1.6934196624704481E-2</v>
      </c>
      <c r="H576" s="696">
        <f t="shared" si="69"/>
        <v>4.0759691579689804E-4</v>
      </c>
      <c r="I576" s="696">
        <f t="shared" si="70"/>
        <v>-1.0773887919886056E-2</v>
      </c>
      <c r="J576" s="697">
        <f t="shared" si="71"/>
        <v>172.74778892893167</v>
      </c>
      <c r="K576" s="697">
        <f t="shared" si="67"/>
        <v>4.9647109972778228E-2</v>
      </c>
      <c r="L576" s="698">
        <f t="shared" si="72"/>
        <v>-1.6403840953604758</v>
      </c>
      <c r="M576" s="677"/>
    </row>
    <row r="577" spans="1:13" s="188" customFormat="1">
      <c r="A577" s="693">
        <v>2007</v>
      </c>
      <c r="B577" s="596">
        <v>57.6</v>
      </c>
      <c r="C577" s="596">
        <v>75</v>
      </c>
      <c r="D577" s="694">
        <f>SUM($I$555:$I$559)</f>
        <v>1858</v>
      </c>
      <c r="E577" s="695">
        <f t="shared" si="65"/>
        <v>0.76800000000000002</v>
      </c>
      <c r="F577" s="695">
        <f t="shared" si="66"/>
        <v>4.0365984930032295E-2</v>
      </c>
      <c r="G577" s="696">
        <f t="shared" si="68"/>
        <v>2.5511607825561024E-2</v>
      </c>
      <c r="H577" s="696">
        <f t="shared" si="69"/>
        <v>9.8923597240150422E-3</v>
      </c>
      <c r="I577" s="696">
        <f t="shared" si="70"/>
        <v>-1.708693152936233E-3</v>
      </c>
      <c r="J577" s="697">
        <f t="shared" si="71"/>
        <v>80.255480269338307</v>
      </c>
      <c r="K577" s="697">
        <f t="shared" si="67"/>
        <v>1.2624068975531659</v>
      </c>
      <c r="L577" s="698">
        <f t="shared" si="72"/>
        <v>-0.20284068713286721</v>
      </c>
      <c r="M577" s="677"/>
    </row>
    <row r="578" spans="1:13" s="188" customFormat="1">
      <c r="A578" s="693">
        <v>2008</v>
      </c>
      <c r="B578" s="596">
        <v>62.4</v>
      </c>
      <c r="C578" s="596">
        <v>72</v>
      </c>
      <c r="D578" s="694">
        <f>SUM($J$555:$J$559)</f>
        <v>1954</v>
      </c>
      <c r="E578" s="695">
        <f t="shared" si="65"/>
        <v>0.8666666666666667</v>
      </c>
      <c r="F578" s="695">
        <f t="shared" si="66"/>
        <v>3.6847492323439097E-2</v>
      </c>
      <c r="G578" s="696">
        <f t="shared" si="68"/>
        <v>2.1878849725131332E-2</v>
      </c>
      <c r="H578" s="696">
        <f t="shared" si="69"/>
        <v>5.2490873219643561E-2</v>
      </c>
      <c r="I578" s="696">
        <f t="shared" si="70"/>
        <v>-3.9607616685562931E-2</v>
      </c>
      <c r="J578" s="697">
        <f t="shared" si="71"/>
        <v>60.421240242196475</v>
      </c>
      <c r="K578" s="697">
        <f t="shared" si="67"/>
        <v>7.2480128095667533</v>
      </c>
      <c r="L578" s="698">
        <f t="shared" si="72"/>
        <v>3.4181717635478632</v>
      </c>
      <c r="M578" s="677"/>
    </row>
    <row r="579" spans="1:13" s="188" customFormat="1">
      <c r="A579" s="693">
        <v>2009</v>
      </c>
      <c r="B579" s="596">
        <v>62.7</v>
      </c>
      <c r="C579" s="596">
        <v>78</v>
      </c>
      <c r="D579" s="694">
        <f>SUM($K$555:$K$559)</f>
        <v>1943</v>
      </c>
      <c r="E579" s="695">
        <f t="shared" si="65"/>
        <v>0.80384615384615388</v>
      </c>
      <c r="F579" s="695">
        <f t="shared" si="66"/>
        <v>4.0144107050952137E-2</v>
      </c>
      <c r="G579" s="696">
        <f t="shared" si="68"/>
        <v>-2.451758782971727E-3</v>
      </c>
      <c r="H579" s="696">
        <f t="shared" si="69"/>
        <v>-3.2679155110919476E-2</v>
      </c>
      <c r="I579" s="696">
        <f t="shared" si="70"/>
        <v>3.7213865042183714E-2</v>
      </c>
      <c r="J579" s="697">
        <f t="shared" si="71"/>
        <v>12.947661607329103</v>
      </c>
      <c r="K579" s="697">
        <f t="shared" si="67"/>
        <v>-4.7066617675179572</v>
      </c>
      <c r="L579" s="698">
        <f t="shared" si="72"/>
        <v>107.19559622708277</v>
      </c>
      <c r="M579" s="677"/>
    </row>
    <row r="580" spans="1:13" s="188" customFormat="1" ht="15.75" thickBot="1">
      <c r="A580" s="699">
        <v>2010</v>
      </c>
      <c r="B580" s="595">
        <v>69.400000000000006</v>
      </c>
      <c r="C580" s="595">
        <v>95</v>
      </c>
      <c r="D580" s="700">
        <f>SUM($L$555:$L$559)</f>
        <v>2092</v>
      </c>
      <c r="E580" s="701">
        <f t="shared" si="65"/>
        <v>0.73052631578947369</v>
      </c>
      <c r="F580" s="701">
        <f t="shared" si="66"/>
        <v>4.5411089866156787E-2</v>
      </c>
      <c r="G580" s="702">
        <f t="shared" si="68"/>
        <v>3.208887959545409E-2</v>
      </c>
      <c r="H580" s="702">
        <f t="shared" si="69"/>
        <v>-4.1537072974228921E-2</v>
      </c>
      <c r="I580" s="702">
        <f t="shared" si="70"/>
        <v>5.3540123002913192E-2</v>
      </c>
      <c r="J580" s="703">
        <f t="shared" si="71"/>
        <v>108.43805432151335</v>
      </c>
      <c r="K580" s="703">
        <f t="shared" si="67"/>
        <v>-6.3117761300013049</v>
      </c>
      <c r="L580" s="704">
        <f t="shared" si="72"/>
        <v>20.642827356579108</v>
      </c>
      <c r="M580" s="677"/>
    </row>
    <row r="581" spans="1:13" s="188" customFormat="1" ht="15.75" thickBot="1">
      <c r="A581" s="649"/>
      <c r="B581" s="682"/>
      <c r="C581" s="683"/>
      <c r="D581" s="675"/>
      <c r="E581" s="675"/>
      <c r="F581" s="678"/>
      <c r="G581" s="705"/>
      <c r="H581" s="705"/>
      <c r="I581" s="705"/>
      <c r="J581" s="677"/>
      <c r="K581" s="677"/>
      <c r="L581" s="677"/>
      <c r="M581" s="677"/>
    </row>
    <row r="582" spans="1:13" s="188" customFormat="1" ht="30.75" thickBot="1">
      <c r="A582" s="706" t="str">
        <f>A556</f>
        <v>Agropecuário</v>
      </c>
      <c r="B582" s="686" t="s">
        <v>603</v>
      </c>
      <c r="C582" s="686" t="s">
        <v>605</v>
      </c>
      <c r="D582" s="687" t="s">
        <v>599</v>
      </c>
      <c r="E582" s="686" t="s">
        <v>597</v>
      </c>
      <c r="F582" s="686" t="s">
        <v>598</v>
      </c>
      <c r="G582" s="686" t="s">
        <v>607</v>
      </c>
      <c r="H582" s="686" t="s">
        <v>608</v>
      </c>
      <c r="I582" s="686" t="s">
        <v>609</v>
      </c>
      <c r="J582" s="688" t="s">
        <v>613</v>
      </c>
      <c r="K582" s="688" t="s">
        <v>614</v>
      </c>
      <c r="L582" s="689" t="s">
        <v>617</v>
      </c>
      <c r="M582" s="677"/>
    </row>
    <row r="583" spans="1:13" s="188" customFormat="1">
      <c r="A583" s="690" t="s">
        <v>298</v>
      </c>
      <c r="B583" s="682" t="s">
        <v>604</v>
      </c>
      <c r="C583" s="682" t="s">
        <v>606</v>
      </c>
      <c r="D583" s="675" t="s">
        <v>602</v>
      </c>
      <c r="E583" s="682" t="s">
        <v>600</v>
      </c>
      <c r="F583" s="683" t="s">
        <v>601</v>
      </c>
      <c r="G583" s="683" t="s">
        <v>610</v>
      </c>
      <c r="H583" s="683" t="s">
        <v>611</v>
      </c>
      <c r="I583" s="683" t="s">
        <v>612</v>
      </c>
      <c r="J583" s="691" t="s">
        <v>616</v>
      </c>
      <c r="K583" s="691" t="s">
        <v>615</v>
      </c>
      <c r="L583" s="692" t="s">
        <v>618</v>
      </c>
      <c r="M583" s="677"/>
    </row>
    <row r="584" spans="1:13" s="188" customFormat="1">
      <c r="A584" s="693">
        <v>2000</v>
      </c>
      <c r="B584" s="594">
        <v>7.3</v>
      </c>
      <c r="C584" s="594">
        <v>72</v>
      </c>
      <c r="D584" s="694">
        <f>SUM($B$555:$B$559)</f>
        <v>1432</v>
      </c>
      <c r="E584" s="695">
        <f t="shared" ref="E584:E594" si="73">B584/C584</f>
        <v>0.10138888888888889</v>
      </c>
      <c r="F584" s="695">
        <f t="shared" ref="F584:F594" si="74">C584/D584</f>
        <v>5.027932960893855E-2</v>
      </c>
      <c r="G584" s="696">
        <v>0</v>
      </c>
      <c r="H584" s="696">
        <v>0</v>
      </c>
      <c r="I584" s="696">
        <v>0</v>
      </c>
      <c r="J584" s="697">
        <v>0</v>
      </c>
      <c r="K584" s="697">
        <v>0</v>
      </c>
      <c r="L584" s="698">
        <v>0</v>
      </c>
      <c r="M584" s="677"/>
    </row>
    <row r="585" spans="1:13" s="188" customFormat="1">
      <c r="A585" s="693">
        <v>2001</v>
      </c>
      <c r="B585" s="594">
        <v>7.7</v>
      </c>
      <c r="C585" s="594">
        <v>75</v>
      </c>
      <c r="D585" s="694">
        <f>SUM($C$555:$C$559)</f>
        <v>1489</v>
      </c>
      <c r="E585" s="695">
        <f t="shared" si="73"/>
        <v>0.10266666666666667</v>
      </c>
      <c r="F585" s="695">
        <f t="shared" si="74"/>
        <v>5.0369375419744795E-2</v>
      </c>
      <c r="G585" s="696">
        <f>LOG((D585/D584),10)</f>
        <v>1.6951679780339349E-2</v>
      </c>
      <c r="H585" s="696">
        <f>LOG((E585/E584),10)</f>
        <v>5.4390980915943517E-3</v>
      </c>
      <c r="I585" s="696">
        <f>LOG((F585/F584),10)</f>
        <v>7.7708718009214073E-4</v>
      </c>
      <c r="J585" s="697">
        <f>(D585-D584)*((G585)/(SUM(G585:I585)))</f>
        <v>41.706292112352088</v>
      </c>
      <c r="K585" s="697">
        <f t="shared" ref="K585:K594" si="75">(B585-B584)*((H585)/(SUM(G585:I585)))</f>
        <v>9.3907627299801663E-2</v>
      </c>
      <c r="L585" s="698">
        <f>(C585-C584)*((I585)/(SUM(G585:I585)))</f>
        <v>0.10062478933822053</v>
      </c>
      <c r="M585" s="677"/>
    </row>
    <row r="586" spans="1:13" s="188" customFormat="1">
      <c r="A586" s="693">
        <v>2002</v>
      </c>
      <c r="B586" s="594">
        <v>7.8</v>
      </c>
      <c r="C586" s="594">
        <v>80</v>
      </c>
      <c r="D586" s="694">
        <f>SUM($D$555:$D$559)</f>
        <v>1529</v>
      </c>
      <c r="E586" s="695">
        <f t="shared" si="73"/>
        <v>9.7500000000000003E-2</v>
      </c>
      <c r="F586" s="695">
        <f t="shared" si="74"/>
        <v>5.2321778940483975E-2</v>
      </c>
      <c r="G586" s="696">
        <f t="shared" ref="G586:G594" si="76">LOG((D586/D585),10)</f>
        <v>1.1512787660144016E-2</v>
      </c>
      <c r="H586" s="696">
        <f t="shared" ref="H586:H594" si="77">LOG((E586/E585),10)</f>
        <v>-2.2424846082245008E-2</v>
      </c>
      <c r="I586" s="696">
        <f t="shared" ref="I586:I594" si="78">LOG((F586/F585),10)</f>
        <v>1.651593594009956E-2</v>
      </c>
      <c r="J586" s="697">
        <f t="shared" ref="J586:J594" si="79">(D586-D585)*((G586)/(SUM(G586:I586)))</f>
        <v>82.177296867514855</v>
      </c>
      <c r="K586" s="697">
        <f t="shared" si="75"/>
        <v>-0.40016659911321534</v>
      </c>
      <c r="L586" s="698">
        <f t="shared" ref="L586:L594" si="80">(C586-C585)*((I586)/(SUM(G586:I586)))</f>
        <v>14.736167847221481</v>
      </c>
      <c r="M586" s="677"/>
    </row>
    <row r="587" spans="1:13" s="188" customFormat="1">
      <c r="A587" s="693">
        <v>2003</v>
      </c>
      <c r="B587" s="594">
        <v>8.1999999999999993</v>
      </c>
      <c r="C587" s="594">
        <v>84</v>
      </c>
      <c r="D587" s="694">
        <f>SUM($E$555:$E$559)</f>
        <v>1546</v>
      </c>
      <c r="E587" s="695">
        <f t="shared" si="73"/>
        <v>9.7619047619047605E-2</v>
      </c>
      <c r="F587" s="695">
        <f t="shared" si="74"/>
        <v>5.4333764553686936E-2</v>
      </c>
      <c r="G587" s="696">
        <f t="shared" si="76"/>
        <v>4.8020041699860221E-3</v>
      </c>
      <c r="H587" s="696">
        <f t="shared" si="77"/>
        <v>5.2995062329811696E-4</v>
      </c>
      <c r="I587" s="696">
        <f t="shared" si="78"/>
        <v>1.6387294899952144E-2</v>
      </c>
      <c r="J587" s="697">
        <f t="shared" si="79"/>
        <v>3.7586045578353708</v>
      </c>
      <c r="K587" s="697">
        <f t="shared" si="75"/>
        <v>9.7600171420866577E-3</v>
      </c>
      <c r="L587" s="698">
        <f t="shared" si="80"/>
        <v>3.0180222855590459</v>
      </c>
      <c r="M587" s="677"/>
    </row>
    <row r="588" spans="1:13" s="188" customFormat="1">
      <c r="A588" s="693">
        <v>2004</v>
      </c>
      <c r="B588" s="594">
        <v>8.3000000000000007</v>
      </c>
      <c r="C588" s="594">
        <v>86</v>
      </c>
      <c r="D588" s="694">
        <f>SUM($F$555:$F$559)</f>
        <v>1634</v>
      </c>
      <c r="E588" s="695">
        <f t="shared" si="73"/>
        <v>9.6511627906976746E-2</v>
      </c>
      <c r="F588" s="695">
        <f t="shared" si="74"/>
        <v>5.2631578947368418E-2</v>
      </c>
      <c r="G588" s="696">
        <f t="shared" si="76"/>
        <v>2.4042562614090615E-2</v>
      </c>
      <c r="H588" s="696">
        <f t="shared" si="77"/>
        <v>-4.9549251893287617E-3</v>
      </c>
      <c r="I588" s="696">
        <f t="shared" si="78"/>
        <v>-1.3823397432404553E-2</v>
      </c>
      <c r="J588" s="697">
        <f t="shared" si="79"/>
        <v>401.90901499772866</v>
      </c>
      <c r="K588" s="697">
        <f t="shared" si="75"/>
        <v>-9.4124226792898155E-2</v>
      </c>
      <c r="L588" s="698">
        <f t="shared" si="80"/>
        <v>-5.2518112595449882</v>
      </c>
      <c r="M588" s="677"/>
    </row>
    <row r="589" spans="1:13" s="188" customFormat="1">
      <c r="A589" s="693">
        <v>2005</v>
      </c>
      <c r="B589" s="594">
        <v>8.4</v>
      </c>
      <c r="C589" s="594">
        <v>87</v>
      </c>
      <c r="D589" s="694">
        <f>SUM($G$555:$G$559)</f>
        <v>1685</v>
      </c>
      <c r="E589" s="695">
        <f t="shared" si="73"/>
        <v>9.6551724137931033E-2</v>
      </c>
      <c r="F589" s="695">
        <f t="shared" si="74"/>
        <v>5.1632047477744809E-2</v>
      </c>
      <c r="G589" s="696">
        <f t="shared" si="76"/>
        <v>1.3347853010960789E-2</v>
      </c>
      <c r="H589" s="696">
        <f t="shared" si="77"/>
        <v>1.8039231075692058E-4</v>
      </c>
      <c r="I589" s="696">
        <f t="shared" si="78"/>
        <v>-8.32705163590991E-3</v>
      </c>
      <c r="J589" s="697">
        <f t="shared" si="79"/>
        <v>130.88159078107358</v>
      </c>
      <c r="K589" s="697">
        <f t="shared" si="75"/>
        <v>3.4682867367378796E-3</v>
      </c>
      <c r="L589" s="698">
        <f t="shared" si="80"/>
        <v>-1.6009885689570571</v>
      </c>
      <c r="M589" s="677"/>
    </row>
    <row r="590" spans="1:13" s="188" customFormat="1">
      <c r="A590" s="693">
        <v>2006</v>
      </c>
      <c r="B590" s="594">
        <v>8.6</v>
      </c>
      <c r="C590" s="594">
        <v>91</v>
      </c>
      <c r="D590" s="694">
        <f>SUM($H$555:$H$559)</f>
        <v>1752</v>
      </c>
      <c r="E590" s="695">
        <f t="shared" si="73"/>
        <v>9.4505494505494503E-2</v>
      </c>
      <c r="F590" s="695">
        <f t="shared" si="74"/>
        <v>5.194063926940639E-2</v>
      </c>
      <c r="G590" s="696">
        <f t="shared" si="76"/>
        <v>1.6934196624704481E-2</v>
      </c>
      <c r="H590" s="696">
        <f t="shared" si="77"/>
        <v>-9.302974520788999E-3</v>
      </c>
      <c r="I590" s="696">
        <f t="shared" si="78"/>
        <v>2.5879430777705848E-3</v>
      </c>
      <c r="J590" s="697">
        <f t="shared" si="79"/>
        <v>111.02581802753512</v>
      </c>
      <c r="K590" s="697">
        <f t="shared" si="75"/>
        <v>-0.1820691681833459</v>
      </c>
      <c r="L590" s="698">
        <f t="shared" si="80"/>
        <v>1.0129763172469233</v>
      </c>
      <c r="M590" s="677"/>
    </row>
    <row r="591" spans="1:13" s="188" customFormat="1">
      <c r="A591" s="693">
        <v>2007</v>
      </c>
      <c r="B591" s="594">
        <v>9.1</v>
      </c>
      <c r="C591" s="594">
        <v>95</v>
      </c>
      <c r="D591" s="694">
        <f>SUM($I$555:$I$559)</f>
        <v>1858</v>
      </c>
      <c r="E591" s="695">
        <f t="shared" si="73"/>
        <v>9.5789473684210522E-2</v>
      </c>
      <c r="F591" s="695">
        <f t="shared" si="74"/>
        <v>5.1130247578040904E-2</v>
      </c>
      <c r="G591" s="696">
        <f t="shared" si="76"/>
        <v>2.5511607825561024E-2</v>
      </c>
      <c r="H591" s="696">
        <f t="shared" si="77"/>
        <v>5.8607281097717429E-3</v>
      </c>
      <c r="I591" s="696">
        <f t="shared" si="78"/>
        <v>-6.8293948578068472E-3</v>
      </c>
      <c r="J591" s="697">
        <f t="shared" si="79"/>
        <v>110.18363369603426</v>
      </c>
      <c r="K591" s="697">
        <f t="shared" si="75"/>
        <v>0.11939742859787976</v>
      </c>
      <c r="L591" s="698">
        <f t="shared" si="80"/>
        <v>-1.1130523984447087</v>
      </c>
      <c r="M591" s="677"/>
    </row>
    <row r="592" spans="1:13" s="188" customFormat="1">
      <c r="A592" s="693">
        <v>2008</v>
      </c>
      <c r="B592" s="594">
        <v>9.9</v>
      </c>
      <c r="C592" s="594">
        <v>101</v>
      </c>
      <c r="D592" s="694">
        <f>SUM($J$555:$J$559)</f>
        <v>1954</v>
      </c>
      <c r="E592" s="695">
        <f t="shared" si="73"/>
        <v>9.8019801980198024E-2</v>
      </c>
      <c r="F592" s="695">
        <f t="shared" si="74"/>
        <v>5.1688843398157623E-2</v>
      </c>
      <c r="G592" s="696">
        <f t="shared" si="76"/>
        <v>2.1878849725131332E-2</v>
      </c>
      <c r="H592" s="696">
        <f t="shared" si="77"/>
        <v>9.9960337826615429E-3</v>
      </c>
      <c r="I592" s="696">
        <f t="shared" si="78"/>
        <v>4.718918768663506E-3</v>
      </c>
      <c r="J592" s="697">
        <f t="shared" si="79"/>
        <v>57.396866216439548</v>
      </c>
      <c r="K592" s="697">
        <f t="shared" si="75"/>
        <v>0.21852954677175532</v>
      </c>
      <c r="L592" s="698">
        <f t="shared" si="80"/>
        <v>0.77372426068436462</v>
      </c>
      <c r="M592" s="677"/>
    </row>
    <row r="593" spans="1:13" s="188" customFormat="1">
      <c r="A593" s="693">
        <v>2009</v>
      </c>
      <c r="B593" s="594">
        <v>9.5</v>
      </c>
      <c r="C593" s="594">
        <v>96</v>
      </c>
      <c r="D593" s="694">
        <f>SUM($K$555:$K$559)</f>
        <v>1943</v>
      </c>
      <c r="E593" s="695">
        <f t="shared" si="73"/>
        <v>9.8958333333333329E-2</v>
      </c>
      <c r="F593" s="695">
        <f t="shared" si="74"/>
        <v>4.9408131755018014E-2</v>
      </c>
      <c r="G593" s="696">
        <f t="shared" si="76"/>
        <v>-2.451758782971727E-3</v>
      </c>
      <c r="H593" s="696">
        <f t="shared" si="77"/>
        <v>4.1385514343719376E-3</v>
      </c>
      <c r="I593" s="696">
        <f t="shared" si="78"/>
        <v>-1.9598381960102367E-2</v>
      </c>
      <c r="J593" s="697">
        <f t="shared" si="79"/>
        <v>-1.5056925517818915</v>
      </c>
      <c r="K593" s="697">
        <f t="shared" si="75"/>
        <v>9.2421758070597784E-2</v>
      </c>
      <c r="L593" s="698">
        <f t="shared" si="80"/>
        <v>-5.4708662705270665</v>
      </c>
      <c r="M593" s="677"/>
    </row>
    <row r="594" spans="1:13" s="188" customFormat="1" ht="15.75" thickBot="1">
      <c r="A594" s="699">
        <v>2010</v>
      </c>
      <c r="B594" s="595">
        <v>9.9</v>
      </c>
      <c r="C594" s="595">
        <v>103</v>
      </c>
      <c r="D594" s="700">
        <f>SUM($L$555:$L$559)</f>
        <v>2092</v>
      </c>
      <c r="E594" s="701">
        <f t="shared" si="73"/>
        <v>9.6116504854368942E-2</v>
      </c>
      <c r="F594" s="701">
        <f t="shared" si="74"/>
        <v>4.9235181644359464E-2</v>
      </c>
      <c r="G594" s="702">
        <f t="shared" si="76"/>
        <v>3.208887959545409E-2</v>
      </c>
      <c r="H594" s="702">
        <f t="shared" si="77"/>
        <v>-1.2654402356901578E-2</v>
      </c>
      <c r="I594" s="702">
        <f t="shared" si="78"/>
        <v>-1.5228879298503208E-3</v>
      </c>
      <c r="J594" s="703">
        <f t="shared" si="79"/>
        <v>266.93572397842632</v>
      </c>
      <c r="K594" s="703">
        <f t="shared" si="75"/>
        <v>-0.28259697425629471</v>
      </c>
      <c r="L594" s="704">
        <f t="shared" si="80"/>
        <v>-0.59515743272279442</v>
      </c>
      <c r="M594" s="677"/>
    </row>
    <row r="595" spans="1:13" s="188" customFormat="1" ht="15.75" thickBot="1">
      <c r="A595" s="649"/>
      <c r="B595" s="682"/>
      <c r="C595" s="683"/>
      <c r="D595" s="675"/>
      <c r="E595" s="675"/>
      <c r="F595" s="678"/>
      <c r="G595" s="705"/>
      <c r="H595" s="705"/>
      <c r="I595" s="705"/>
      <c r="J595" s="677"/>
      <c r="K595" s="677"/>
      <c r="L595" s="677"/>
      <c r="M595" s="677"/>
    </row>
    <row r="596" spans="1:13" s="188" customFormat="1" ht="30.75" thickBot="1">
      <c r="A596" s="706" t="str">
        <f>A557</f>
        <v>Indústria</v>
      </c>
      <c r="B596" s="686" t="s">
        <v>603</v>
      </c>
      <c r="C596" s="686" t="s">
        <v>605</v>
      </c>
      <c r="D596" s="687" t="s">
        <v>599</v>
      </c>
      <c r="E596" s="686" t="s">
        <v>597</v>
      </c>
      <c r="F596" s="686" t="s">
        <v>598</v>
      </c>
      <c r="G596" s="686" t="s">
        <v>607</v>
      </c>
      <c r="H596" s="686" t="s">
        <v>608</v>
      </c>
      <c r="I596" s="686" t="s">
        <v>609</v>
      </c>
      <c r="J596" s="688" t="s">
        <v>613</v>
      </c>
      <c r="K596" s="688" t="s">
        <v>614</v>
      </c>
      <c r="L596" s="689" t="s">
        <v>617</v>
      </c>
      <c r="M596" s="650"/>
    </row>
    <row r="597" spans="1:13" s="188" customFormat="1">
      <c r="A597" s="690" t="s">
        <v>298</v>
      </c>
      <c r="B597" s="682" t="s">
        <v>604</v>
      </c>
      <c r="C597" s="682" t="s">
        <v>606</v>
      </c>
      <c r="D597" s="675" t="s">
        <v>602</v>
      </c>
      <c r="E597" s="682" t="s">
        <v>600</v>
      </c>
      <c r="F597" s="683" t="s">
        <v>601</v>
      </c>
      <c r="G597" s="683" t="s">
        <v>610</v>
      </c>
      <c r="H597" s="683" t="s">
        <v>611</v>
      </c>
      <c r="I597" s="683" t="s">
        <v>612</v>
      </c>
      <c r="J597" s="691" t="s">
        <v>616</v>
      </c>
      <c r="K597" s="691" t="s">
        <v>615</v>
      </c>
      <c r="L597" s="692" t="s">
        <v>618</v>
      </c>
      <c r="M597" s="650"/>
    </row>
    <row r="598" spans="1:13" s="188" customFormat="1">
      <c r="A598" s="693">
        <v>2000</v>
      </c>
      <c r="B598" s="594">
        <v>61.2</v>
      </c>
      <c r="C598" s="594">
        <v>294</v>
      </c>
      <c r="D598" s="694">
        <f>SUM($B$555:$B$559)</f>
        <v>1432</v>
      </c>
      <c r="E598" s="695">
        <f t="shared" ref="E598:E608" si="81">B598/C598</f>
        <v>0.20816326530612245</v>
      </c>
      <c r="F598" s="695">
        <f t="shared" ref="F598:F608" si="82">C598/D598</f>
        <v>0.20530726256983239</v>
      </c>
      <c r="G598" s="696">
        <v>0</v>
      </c>
      <c r="H598" s="696">
        <v>0</v>
      </c>
      <c r="I598" s="696">
        <v>0</v>
      </c>
      <c r="J598" s="697">
        <v>0</v>
      </c>
      <c r="K598" s="697">
        <v>0</v>
      </c>
      <c r="L598" s="698">
        <v>0</v>
      </c>
      <c r="M598" s="650"/>
    </row>
    <row r="599" spans="1:13" s="188" customFormat="1">
      <c r="A599" s="693">
        <v>2001</v>
      </c>
      <c r="B599" s="594">
        <v>61.5</v>
      </c>
      <c r="C599" s="594">
        <v>303</v>
      </c>
      <c r="D599" s="694">
        <f>SUM($C$555:$C$559)</f>
        <v>1489</v>
      </c>
      <c r="E599" s="695">
        <f t="shared" si="81"/>
        <v>0.20297029702970298</v>
      </c>
      <c r="F599" s="695">
        <f t="shared" si="82"/>
        <v>0.20349227669576897</v>
      </c>
      <c r="G599" s="696">
        <f>LOG((D599/D598),10)</f>
        <v>1.6951679780339349E-2</v>
      </c>
      <c r="H599" s="696">
        <f>LOG((E599/E598),10)</f>
        <v>-1.0971604460292123E-2</v>
      </c>
      <c r="I599" s="696">
        <f>LOG((F599/F598),10)</f>
        <v>-3.8563816901916706E-3</v>
      </c>
      <c r="J599" s="697">
        <f>(D599-D598)*((G599)/(SUM(G599:I599)))</f>
        <v>454.98358797877205</v>
      </c>
      <c r="K599" s="697">
        <f t="shared" ref="K599:K608" si="83">(B599-B598)*((H599)/(SUM(G599:I599)))</f>
        <v>-1.5498852055752872</v>
      </c>
      <c r="L599" s="698">
        <f>(C599-C598)*((I599)/(SUM(G599:I599)))</f>
        <v>-16.342957724126002</v>
      </c>
      <c r="M599" s="650"/>
    </row>
    <row r="600" spans="1:13" s="188" customFormat="1">
      <c r="A600" s="693">
        <v>2002</v>
      </c>
      <c r="B600" s="594">
        <v>65.400000000000006</v>
      </c>
      <c r="C600" s="594">
        <v>309</v>
      </c>
      <c r="D600" s="694">
        <f>SUM($D$555:$D$559)</f>
        <v>1529</v>
      </c>
      <c r="E600" s="695">
        <f t="shared" si="81"/>
        <v>0.21165048543689322</v>
      </c>
      <c r="F600" s="695">
        <f t="shared" si="82"/>
        <v>0.20209287115761937</v>
      </c>
      <c r="G600" s="696">
        <f t="shared" ref="G600:G608" si="84">LOG((D600/D599),10)</f>
        <v>1.1512787660144016E-2</v>
      </c>
      <c r="H600" s="696">
        <f t="shared" ref="H600:H608" si="85">LOG((E600/E599),10)</f>
        <v>1.8186781626320876E-2</v>
      </c>
      <c r="I600" s="696">
        <f t="shared" ref="I600:I608" si="86">LOG((F600/F599),10)</f>
        <v>-2.9969367376143012E-3</v>
      </c>
      <c r="J600" s="697">
        <f t="shared" ref="J600:J608" si="87">(D600-D599)*((G600)/(SUM(G600:I600)))</f>
        <v>17.245921560853116</v>
      </c>
      <c r="K600" s="697">
        <f t="shared" si="83"/>
        <v>2.6562342949854441</v>
      </c>
      <c r="L600" s="698">
        <f t="shared" ref="L600:L608" si="88">(C600-C599)*((I600)/(SUM(G600:I600)))</f>
        <v>-0.67340253410556794</v>
      </c>
      <c r="M600" s="650"/>
    </row>
    <row r="601" spans="1:13" s="188" customFormat="1">
      <c r="A601" s="693">
        <v>2003</v>
      </c>
      <c r="B601" s="594">
        <v>68.400000000000006</v>
      </c>
      <c r="C601" s="594">
        <v>311</v>
      </c>
      <c r="D601" s="694">
        <f>SUM($E$555:$E$559)</f>
        <v>1546</v>
      </c>
      <c r="E601" s="695">
        <f t="shared" si="81"/>
        <v>0.21993569131832799</v>
      </c>
      <c r="F601" s="695">
        <f t="shared" si="82"/>
        <v>0.20116429495472185</v>
      </c>
      <c r="G601" s="696">
        <f t="shared" si="84"/>
        <v>4.8020041699860221E-3</v>
      </c>
      <c r="H601" s="696">
        <f t="shared" si="85"/>
        <v>1.6676443793846085E-2</v>
      </c>
      <c r="I601" s="696">
        <f t="shared" si="86"/>
        <v>-2.0000945679831705E-3</v>
      </c>
      <c r="J601" s="697">
        <f t="shared" si="87"/>
        <v>4.191014981130774</v>
      </c>
      <c r="K601" s="697">
        <f t="shared" si="83"/>
        <v>2.5684579371170093</v>
      </c>
      <c r="L601" s="698">
        <f t="shared" si="88"/>
        <v>-0.20536587742672477</v>
      </c>
      <c r="M601" s="650"/>
    </row>
    <row r="602" spans="1:13" s="188" customFormat="1">
      <c r="A602" s="693">
        <v>2004</v>
      </c>
      <c r="B602" s="594">
        <v>72.2</v>
      </c>
      <c r="C602" s="594">
        <v>338</v>
      </c>
      <c r="D602" s="694">
        <f>SUM($F$555:$F$559)</f>
        <v>1634</v>
      </c>
      <c r="E602" s="695">
        <f t="shared" si="81"/>
        <v>0.21360946745562132</v>
      </c>
      <c r="F602" s="695">
        <f t="shared" si="82"/>
        <v>0.20685434516523868</v>
      </c>
      <c r="G602" s="696">
        <f t="shared" si="84"/>
        <v>2.4042562614090615E-2</v>
      </c>
      <c r="H602" s="696">
        <f t="shared" si="85"/>
        <v>-1.2675215401294343E-2</v>
      </c>
      <c r="I602" s="696">
        <f t="shared" si="86"/>
        <v>1.2113748636726707E-2</v>
      </c>
      <c r="J602" s="697">
        <f t="shared" si="87"/>
        <v>90.104206532718337</v>
      </c>
      <c r="K602" s="697">
        <f t="shared" si="83"/>
        <v>-2.0512593974994124</v>
      </c>
      <c r="L602" s="698">
        <f t="shared" si="88"/>
        <v>13.92912900179936</v>
      </c>
      <c r="M602" s="650"/>
    </row>
    <row r="603" spans="1:13" s="188" customFormat="1">
      <c r="A603" s="693">
        <v>2005</v>
      </c>
      <c r="B603" s="594">
        <v>73.5</v>
      </c>
      <c r="C603" s="594">
        <v>343</v>
      </c>
      <c r="D603" s="694">
        <f>SUM($G$555:$G$559)</f>
        <v>1685</v>
      </c>
      <c r="E603" s="695">
        <f t="shared" si="81"/>
        <v>0.21428571428571427</v>
      </c>
      <c r="F603" s="695">
        <f t="shared" si="82"/>
        <v>0.20356083086053411</v>
      </c>
      <c r="G603" s="696">
        <f t="shared" si="84"/>
        <v>1.3347853010960789E-2</v>
      </c>
      <c r="H603" s="696">
        <f t="shared" si="85"/>
        <v>1.3727217494399861E-3</v>
      </c>
      <c r="I603" s="696">
        <f t="shared" si="86"/>
        <v>-6.9704332458449918E-3</v>
      </c>
      <c r="J603" s="697">
        <f t="shared" si="87"/>
        <v>87.835880452051114</v>
      </c>
      <c r="K603" s="697">
        <f t="shared" si="83"/>
        <v>0.23025879861940338</v>
      </c>
      <c r="L603" s="698">
        <f t="shared" si="88"/>
        <v>-4.4969715925532476</v>
      </c>
      <c r="M603" s="650"/>
    </row>
    <row r="604" spans="1:13" s="188" customFormat="1">
      <c r="A604" s="693">
        <v>2006</v>
      </c>
      <c r="B604" s="594">
        <v>76.8</v>
      </c>
      <c r="C604" s="594">
        <v>351</v>
      </c>
      <c r="D604" s="694">
        <f>SUM($H$555:$H$559)</f>
        <v>1752</v>
      </c>
      <c r="E604" s="695">
        <f t="shared" si="81"/>
        <v>0.2188034188034188</v>
      </c>
      <c r="F604" s="695">
        <f t="shared" si="82"/>
        <v>0.20034246575342465</v>
      </c>
      <c r="G604" s="696">
        <f t="shared" si="84"/>
        <v>1.6934196624704481E-2</v>
      </c>
      <c r="H604" s="696">
        <f t="shared" si="85"/>
        <v>9.060884524263537E-3</v>
      </c>
      <c r="I604" s="696">
        <f t="shared" si="86"/>
        <v>-6.9212002016508685E-3</v>
      </c>
      <c r="J604" s="697">
        <f t="shared" si="87"/>
        <v>59.48402304643654</v>
      </c>
      <c r="K604" s="697">
        <f t="shared" si="83"/>
        <v>1.5676368649179064</v>
      </c>
      <c r="L604" s="698">
        <f t="shared" si="88"/>
        <v>-2.9029017097328058</v>
      </c>
      <c r="M604" s="650"/>
    </row>
    <row r="605" spans="1:13" s="188" customFormat="1">
      <c r="A605" s="693">
        <v>2007</v>
      </c>
      <c r="B605" s="594">
        <v>81.900000000000006</v>
      </c>
      <c r="C605" s="594">
        <v>370</v>
      </c>
      <c r="D605" s="694">
        <f>SUM($I$555:$I$559)</f>
        <v>1858</v>
      </c>
      <c r="E605" s="695">
        <f t="shared" si="81"/>
        <v>0.22135135135135137</v>
      </c>
      <c r="F605" s="695">
        <f t="shared" si="82"/>
        <v>0.19913885898815931</v>
      </c>
      <c r="G605" s="696">
        <f t="shared" si="84"/>
        <v>2.5511607825561024E-2</v>
      </c>
      <c r="H605" s="696">
        <f t="shared" si="85"/>
        <v>5.0280741277355448E-3</v>
      </c>
      <c r="I605" s="696">
        <f t="shared" si="86"/>
        <v>-2.6170002243901375E-3</v>
      </c>
      <c r="J605" s="697">
        <f t="shared" si="87"/>
        <v>96.847088534120445</v>
      </c>
      <c r="K605" s="697">
        <f t="shared" si="83"/>
        <v>0.91836372667975874</v>
      </c>
      <c r="L605" s="698">
        <f t="shared" si="88"/>
        <v>-1.7807388540312661</v>
      </c>
      <c r="M605" s="650"/>
    </row>
    <row r="606" spans="1:13" s="188" customFormat="1">
      <c r="A606" s="693">
        <v>2008</v>
      </c>
      <c r="B606" s="594">
        <v>82.3</v>
      </c>
      <c r="C606" s="594">
        <v>385</v>
      </c>
      <c r="D606" s="694">
        <f>SUM($J$555:$J$559)</f>
        <v>1954</v>
      </c>
      <c r="E606" s="695">
        <f t="shared" si="81"/>
        <v>0.21376623376623377</v>
      </c>
      <c r="F606" s="695">
        <f t="shared" si="82"/>
        <v>0.19703172978505629</v>
      </c>
      <c r="G606" s="696">
        <f t="shared" si="84"/>
        <v>2.1878849725131332E-2</v>
      </c>
      <c r="H606" s="696">
        <f t="shared" si="85"/>
        <v>-1.5143071989654316E-2</v>
      </c>
      <c r="I606" s="696">
        <f t="shared" si="86"/>
        <v>-4.6198442836256582E-3</v>
      </c>
      <c r="J606" s="697">
        <f t="shared" si="87"/>
        <v>992.64443868726948</v>
      </c>
      <c r="K606" s="697">
        <f t="shared" si="83"/>
        <v>-2.8626745281434829</v>
      </c>
      <c r="L606" s="698">
        <f t="shared" si="88"/>
        <v>-32.75039873950297</v>
      </c>
      <c r="M606" s="650"/>
    </row>
    <row r="607" spans="1:13" s="188" customFormat="1">
      <c r="A607" s="693">
        <v>2009</v>
      </c>
      <c r="B607" s="594">
        <v>76.400000000000006</v>
      </c>
      <c r="C607" s="594">
        <v>358</v>
      </c>
      <c r="D607" s="694">
        <f>SUM($K$555:$K$559)</f>
        <v>1943</v>
      </c>
      <c r="E607" s="695">
        <f t="shared" si="81"/>
        <v>0.2134078212290503</v>
      </c>
      <c r="F607" s="695">
        <f t="shared" si="82"/>
        <v>0.184251158003088</v>
      </c>
      <c r="G607" s="696">
        <f t="shared" si="84"/>
        <v>-2.451758782971727E-3</v>
      </c>
      <c r="H607" s="696">
        <f t="shared" si="85"/>
        <v>-7.2877377195357067E-4</v>
      </c>
      <c r="I607" s="696">
        <f t="shared" si="86"/>
        <v>-2.9125944081654559E-2</v>
      </c>
      <c r="J607" s="697">
        <f t="shared" si="87"/>
        <v>-0.83479690205994928</v>
      </c>
      <c r="K607" s="697">
        <f t="shared" si="83"/>
        <v>-0.1330929801752983</v>
      </c>
      <c r="L607" s="698">
        <f t="shared" si="88"/>
        <v>-24.341883488286385</v>
      </c>
      <c r="M607" s="650"/>
    </row>
    <row r="608" spans="1:13" s="188" customFormat="1" ht="15.75" thickBot="1">
      <c r="A608" s="699">
        <v>2010</v>
      </c>
      <c r="B608" s="595">
        <v>85.7</v>
      </c>
      <c r="C608" s="595">
        <v>386</v>
      </c>
      <c r="D608" s="700">
        <f>SUM($L$555:$L$559)</f>
        <v>2092</v>
      </c>
      <c r="E608" s="701">
        <f t="shared" si="81"/>
        <v>0.22202072538860104</v>
      </c>
      <c r="F608" s="701">
        <f t="shared" si="82"/>
        <v>0.18451242829827916</v>
      </c>
      <c r="G608" s="702">
        <f t="shared" si="84"/>
        <v>3.208887959545409E-2</v>
      </c>
      <c r="H608" s="702">
        <f t="shared" si="85"/>
        <v>1.7183185319627571E-2</v>
      </c>
      <c r="I608" s="702">
        <f t="shared" si="86"/>
        <v>6.1539843242646808E-4</v>
      </c>
      <c r="J608" s="703">
        <f t="shared" si="87"/>
        <v>95.840572739032268</v>
      </c>
      <c r="K608" s="703">
        <f t="shared" si="83"/>
        <v>3.2032822025720122</v>
      </c>
      <c r="L608" s="704">
        <f t="shared" si="88"/>
        <v>0.34540052653933545</v>
      </c>
      <c r="M608" s="650"/>
    </row>
    <row r="609" spans="1:13" s="188" customFormat="1" ht="15.75" thickBot="1">
      <c r="A609" s="635"/>
      <c r="B609" s="682"/>
      <c r="C609" s="683"/>
      <c r="D609" s="675"/>
      <c r="E609" s="675"/>
      <c r="F609" s="676"/>
      <c r="G609" s="684"/>
      <c r="H609" s="684"/>
      <c r="I609" s="684"/>
      <c r="J609" s="650"/>
      <c r="K609" s="650"/>
      <c r="L609" s="650"/>
      <c r="M609" s="650"/>
    </row>
    <row r="610" spans="1:13" s="188" customFormat="1" ht="30.75" thickBot="1">
      <c r="A610" s="706" t="str">
        <f>A558</f>
        <v>Comercial e Público</v>
      </c>
      <c r="B610" s="686" t="s">
        <v>603</v>
      </c>
      <c r="C610" s="686" t="s">
        <v>605</v>
      </c>
      <c r="D610" s="687" t="s">
        <v>599</v>
      </c>
      <c r="E610" s="686" t="s">
        <v>597</v>
      </c>
      <c r="F610" s="686" t="s">
        <v>598</v>
      </c>
      <c r="G610" s="686" t="s">
        <v>607</v>
      </c>
      <c r="H610" s="686" t="s">
        <v>608</v>
      </c>
      <c r="I610" s="686" t="s">
        <v>609</v>
      </c>
      <c r="J610" s="688" t="s">
        <v>613</v>
      </c>
      <c r="K610" s="688" t="s">
        <v>614</v>
      </c>
      <c r="L610" s="689" t="s">
        <v>617</v>
      </c>
      <c r="M610" s="650"/>
    </row>
    <row r="611" spans="1:13" s="188" customFormat="1">
      <c r="A611" s="690" t="s">
        <v>298</v>
      </c>
      <c r="B611" s="682" t="s">
        <v>604</v>
      </c>
      <c r="C611" s="682" t="s">
        <v>606</v>
      </c>
      <c r="D611" s="675" t="s">
        <v>602</v>
      </c>
      <c r="E611" s="682" t="s">
        <v>600</v>
      </c>
      <c r="F611" s="683" t="s">
        <v>601</v>
      </c>
      <c r="G611" s="683" t="s">
        <v>610</v>
      </c>
      <c r="H611" s="683" t="s">
        <v>611</v>
      </c>
      <c r="I611" s="683" t="s">
        <v>612</v>
      </c>
      <c r="J611" s="691" t="s">
        <v>616</v>
      </c>
      <c r="K611" s="691" t="s">
        <v>615</v>
      </c>
      <c r="L611" s="692" t="s">
        <v>618</v>
      </c>
      <c r="M611" s="650"/>
    </row>
    <row r="612" spans="1:13" s="188" customFormat="1">
      <c r="A612" s="693">
        <v>2000</v>
      </c>
      <c r="B612" s="594">
        <v>8.1999999999999993</v>
      </c>
      <c r="C612" s="594">
        <v>946</v>
      </c>
      <c r="D612" s="694">
        <f>SUM($B$555:$B$559)</f>
        <v>1432</v>
      </c>
      <c r="E612" s="695">
        <f t="shared" ref="E612:E622" si="89">B612/C612</f>
        <v>8.668076109936574E-3</v>
      </c>
      <c r="F612" s="695">
        <f t="shared" ref="F612:F622" si="90">C612/D612</f>
        <v>0.66061452513966479</v>
      </c>
      <c r="G612" s="696">
        <v>0</v>
      </c>
      <c r="H612" s="696">
        <v>0</v>
      </c>
      <c r="I612" s="696">
        <v>0</v>
      </c>
      <c r="J612" s="697">
        <v>0</v>
      </c>
      <c r="K612" s="697">
        <v>0</v>
      </c>
      <c r="L612" s="698">
        <v>0</v>
      </c>
      <c r="M612" s="650"/>
    </row>
    <row r="613" spans="1:13" s="188" customFormat="1">
      <c r="A613" s="693">
        <v>2001</v>
      </c>
      <c r="B613" s="594">
        <v>7.9</v>
      </c>
      <c r="C613" s="594">
        <v>985</v>
      </c>
      <c r="D613" s="694">
        <f>SUM($C$555:$C$559)</f>
        <v>1489</v>
      </c>
      <c r="E613" s="695">
        <f t="shared" si="89"/>
        <v>8.0203045685279199E-3</v>
      </c>
      <c r="F613" s="695">
        <f t="shared" si="90"/>
        <v>0.66151779717931503</v>
      </c>
      <c r="G613" s="696">
        <f>LOG((D613/D612),10)</f>
        <v>1.6951679780339349E-2</v>
      </c>
      <c r="H613" s="696">
        <f>LOG((E613/E612),10)</f>
        <v>-3.3731855189094134E-2</v>
      </c>
      <c r="I613" s="696">
        <f>LOG((F613/F612),10)</f>
        <v>5.9341431547958159E-4</v>
      </c>
      <c r="J613" s="697">
        <f>(D613-D612)*((G613)/(SUM(G613:I613)))</f>
        <v>-59.693581804995567</v>
      </c>
      <c r="K613" s="697">
        <f t="shared" ref="K613:K622" si="91">(B613-B612)*((H613)/(SUM(G613:I613)))</f>
        <v>-0.62517488819504341</v>
      </c>
      <c r="L613" s="698">
        <f>(C613-C612)*((I613)/(SUM(G613:I613)))</f>
        <v>-1.429758440885281</v>
      </c>
      <c r="M613" s="650"/>
    </row>
    <row r="614" spans="1:13" s="188" customFormat="1">
      <c r="A614" s="693">
        <v>2002</v>
      </c>
      <c r="B614" s="594">
        <v>8.1</v>
      </c>
      <c r="C614" s="594">
        <v>1010</v>
      </c>
      <c r="D614" s="694">
        <f>SUM($D$555:$D$559)</f>
        <v>1529</v>
      </c>
      <c r="E614" s="695">
        <f t="shared" si="89"/>
        <v>8.01980198019802E-3</v>
      </c>
      <c r="F614" s="695">
        <f t="shared" si="90"/>
        <v>0.66056245912361022</v>
      </c>
      <c r="G614" s="696">
        <f t="shared" ref="G614:G622" si="92">LOG((D614/D613),10)</f>
        <v>1.1512787660144016E-2</v>
      </c>
      <c r="H614" s="696">
        <f t="shared" ref="H614:H622" si="93">LOG((E614/E613),10)</f>
        <v>-2.721569682254781E-5</v>
      </c>
      <c r="I614" s="696">
        <f t="shared" ref="I614:I622" si="94">LOG((F614/F613),10)</f>
        <v>-6.2764437511316114E-4</v>
      </c>
      <c r="J614" s="697">
        <f t="shared" ref="J614:J622" si="95">(D614-D613)*((G614)/(SUM(G614:I614)))</f>
        <v>42.412468002261818</v>
      </c>
      <c r="K614" s="697">
        <f t="shared" si="91"/>
        <v>-5.0130555028021957E-4</v>
      </c>
      <c r="L614" s="698">
        <f t="shared" ref="L614:L622" si="96">(C614-C613)*((I614)/(SUM(G614:I614)))</f>
        <v>-1.4451293076286076</v>
      </c>
      <c r="M614" s="650"/>
    </row>
    <row r="615" spans="1:13" s="188" customFormat="1">
      <c r="A615" s="693">
        <v>2003</v>
      </c>
      <c r="B615" s="594">
        <v>8.1999999999999993</v>
      </c>
      <c r="C615" s="594">
        <v>1020</v>
      </c>
      <c r="D615" s="694">
        <f>SUM($E$555:$E$559)</f>
        <v>1546</v>
      </c>
      <c r="E615" s="695">
        <f t="shared" si="89"/>
        <v>8.0392156862745083E-3</v>
      </c>
      <c r="F615" s="695">
        <f t="shared" si="90"/>
        <v>0.65976714100905565</v>
      </c>
      <c r="G615" s="696">
        <f t="shared" si="92"/>
        <v>4.8020041699860221E-3</v>
      </c>
      <c r="H615" s="696">
        <f t="shared" si="93"/>
        <v>1.0500355257919037E-3</v>
      </c>
      <c r="I615" s="696">
        <f t="shared" si="94"/>
        <v>-5.2320619071101167E-4</v>
      </c>
      <c r="J615" s="697">
        <f t="shared" si="95"/>
        <v>15.319313469287556</v>
      </c>
      <c r="K615" s="697">
        <f t="shared" si="91"/>
        <v>1.9704791391839793E-2</v>
      </c>
      <c r="L615" s="698">
        <f t="shared" si="96"/>
        <v>-0.98184000347078182</v>
      </c>
      <c r="M615" s="650"/>
    </row>
    <row r="616" spans="1:13" s="188" customFormat="1">
      <c r="A616" s="693">
        <v>2004</v>
      </c>
      <c r="B616" s="594">
        <v>8.5</v>
      </c>
      <c r="C616" s="594">
        <v>1073</v>
      </c>
      <c r="D616" s="694">
        <f>SUM($F$555:$F$559)</f>
        <v>1634</v>
      </c>
      <c r="E616" s="695">
        <f t="shared" si="89"/>
        <v>7.9217148182665429E-3</v>
      </c>
      <c r="F616" s="695">
        <f t="shared" si="90"/>
        <v>0.65667074663402691</v>
      </c>
      <c r="G616" s="696">
        <f t="shared" si="92"/>
        <v>2.4042562614090615E-2</v>
      </c>
      <c r="H616" s="696">
        <f t="shared" si="93"/>
        <v>-6.394476873457379E-3</v>
      </c>
      <c r="I616" s="696">
        <f t="shared" si="94"/>
        <v>-2.0430124100570793E-3</v>
      </c>
      <c r="J616" s="697">
        <f t="shared" si="95"/>
        <v>135.58061953444587</v>
      </c>
      <c r="K616" s="697">
        <f t="shared" si="91"/>
        <v>-0.12293073037205593</v>
      </c>
      <c r="L616" s="698">
        <f t="shared" si="96"/>
        <v>-6.9387471266068959</v>
      </c>
      <c r="M616" s="650"/>
    </row>
    <row r="617" spans="1:13" s="188" customFormat="1">
      <c r="A617" s="693">
        <v>2005</v>
      </c>
      <c r="B617" s="594">
        <v>8.9</v>
      </c>
      <c r="C617" s="594">
        <v>1113</v>
      </c>
      <c r="D617" s="694">
        <f>SUM($G$555:$G$559)</f>
        <v>1685</v>
      </c>
      <c r="E617" s="695">
        <f t="shared" si="89"/>
        <v>7.9964061096136577E-3</v>
      </c>
      <c r="F617" s="695">
        <f t="shared" si="90"/>
        <v>0.66053412462908012</v>
      </c>
      <c r="G617" s="696">
        <f t="shared" si="92"/>
        <v>1.3347853010960789E-2</v>
      </c>
      <c r="H617" s="696">
        <f t="shared" si="93"/>
        <v>4.0756385618628726E-3</v>
      </c>
      <c r="I617" s="696">
        <f t="shared" si="94"/>
        <v>2.5475893577964689E-3</v>
      </c>
      <c r="J617" s="697">
        <f t="shared" si="95"/>
        <v>34.086312399609419</v>
      </c>
      <c r="K617" s="697">
        <f t="shared" si="91"/>
        <v>8.1630805583768104E-2</v>
      </c>
      <c r="L617" s="698">
        <f t="shared" si="96"/>
        <v>5.1025567752628653</v>
      </c>
      <c r="M617" s="650"/>
    </row>
    <row r="618" spans="1:13" s="188" customFormat="1">
      <c r="A618" s="693">
        <v>2006</v>
      </c>
      <c r="B618" s="594">
        <v>9.1</v>
      </c>
      <c r="C618" s="594">
        <v>1165</v>
      </c>
      <c r="D618" s="694">
        <f>SUM($H$555:$H$559)</f>
        <v>1752</v>
      </c>
      <c r="E618" s="695">
        <f t="shared" si="89"/>
        <v>7.8111587982832619E-3</v>
      </c>
      <c r="F618" s="695">
        <f t="shared" si="90"/>
        <v>0.66495433789954339</v>
      </c>
      <c r="G618" s="696">
        <f t="shared" si="92"/>
        <v>1.6934196624704481E-2</v>
      </c>
      <c r="H618" s="696">
        <f t="shared" si="93"/>
        <v>-1.0179375351148679E-2</v>
      </c>
      <c r="I618" s="696">
        <f t="shared" si="94"/>
        <v>2.8965644026249797E-3</v>
      </c>
      <c r="J618" s="697">
        <f t="shared" si="95"/>
        <v>117.55733445149995</v>
      </c>
      <c r="K618" s="697">
        <f t="shared" si="91"/>
        <v>-0.21094122010419536</v>
      </c>
      <c r="L618" s="698">
        <f t="shared" si="96"/>
        <v>15.606188996076092</v>
      </c>
      <c r="M618" s="650"/>
    </row>
    <row r="619" spans="1:13" s="188" customFormat="1">
      <c r="A619" s="693">
        <v>2007</v>
      </c>
      <c r="B619" s="594">
        <v>9.5</v>
      </c>
      <c r="C619" s="594">
        <v>1241</v>
      </c>
      <c r="D619" s="694">
        <f>SUM($I$555:$I$559)</f>
        <v>1858</v>
      </c>
      <c r="E619" s="695">
        <f t="shared" si="89"/>
        <v>7.655116841257051E-3</v>
      </c>
      <c r="F619" s="695">
        <f t="shared" si="90"/>
        <v>0.66792249730893438</v>
      </c>
      <c r="G619" s="696">
        <f t="shared" si="92"/>
        <v>2.5511607825561024E-2</v>
      </c>
      <c r="H619" s="696">
        <f t="shared" si="93"/>
        <v>-8.7636431689378791E-3</v>
      </c>
      <c r="I619" s="696">
        <f t="shared" si="94"/>
        <v>1.9342483111310261E-3</v>
      </c>
      <c r="J619" s="697">
        <f t="shared" si="95"/>
        <v>144.74893494560936</v>
      </c>
      <c r="K619" s="697">
        <f t="shared" si="91"/>
        <v>-0.18763608324268843</v>
      </c>
      <c r="L619" s="698">
        <f t="shared" si="96"/>
        <v>7.8686005720889449</v>
      </c>
      <c r="M619" s="650"/>
    </row>
    <row r="620" spans="1:13" s="188" customFormat="1">
      <c r="A620" s="693">
        <v>2008</v>
      </c>
      <c r="B620" s="594">
        <v>9.8000000000000007</v>
      </c>
      <c r="C620" s="594">
        <v>1314</v>
      </c>
      <c r="D620" s="694">
        <f>SUM($J$555:$J$559)</f>
        <v>1954</v>
      </c>
      <c r="E620" s="695">
        <f t="shared" si="89"/>
        <v>7.4581430745814317E-3</v>
      </c>
      <c r="F620" s="695">
        <f t="shared" si="90"/>
        <v>0.67246673490276354</v>
      </c>
      <c r="G620" s="696">
        <f t="shared" si="92"/>
        <v>2.1878849725131332E-2</v>
      </c>
      <c r="H620" s="696">
        <f t="shared" si="93"/>
        <v>-1.132111332138502E-2</v>
      </c>
      <c r="I620" s="696">
        <f t="shared" si="94"/>
        <v>2.9447339999007821E-3</v>
      </c>
      <c r="J620" s="697">
        <f t="shared" si="95"/>
        <v>155.5544660216612</v>
      </c>
      <c r="K620" s="697">
        <f t="shared" si="91"/>
        <v>-0.25153426705517123</v>
      </c>
      <c r="L620" s="698">
        <f t="shared" si="96"/>
        <v>15.920463112786654</v>
      </c>
      <c r="M620" s="650"/>
    </row>
    <row r="621" spans="1:13" s="188" customFormat="1">
      <c r="A621" s="693">
        <v>2009</v>
      </c>
      <c r="B621" s="594">
        <v>10</v>
      </c>
      <c r="C621" s="594">
        <v>1329</v>
      </c>
      <c r="D621" s="694">
        <f>SUM($K$555:$K$559)</f>
        <v>1943</v>
      </c>
      <c r="E621" s="695">
        <f t="shared" si="89"/>
        <v>7.5244544770504138E-3</v>
      </c>
      <c r="F621" s="695">
        <f t="shared" si="90"/>
        <v>0.68399382398353059</v>
      </c>
      <c r="G621" s="696">
        <f t="shared" si="92"/>
        <v>-2.451758782971727E-3</v>
      </c>
      <c r="H621" s="696">
        <f t="shared" si="93"/>
        <v>3.8443085885350396E-3</v>
      </c>
      <c r="I621" s="696">
        <f t="shared" si="94"/>
        <v>7.3813745019417863E-3</v>
      </c>
      <c r="J621" s="697">
        <f t="shared" si="95"/>
        <v>3.0738066191908877</v>
      </c>
      <c r="K621" s="697">
        <f t="shared" si="91"/>
        <v>8.763031122223508E-2</v>
      </c>
      <c r="L621" s="698">
        <f t="shared" si="96"/>
        <v>12.619281139047192</v>
      </c>
      <c r="M621" s="650"/>
    </row>
    <row r="622" spans="1:13" s="188" customFormat="1" ht="15.75" thickBot="1">
      <c r="A622" s="699">
        <v>2010</v>
      </c>
      <c r="B622" s="595">
        <v>10.199999999999999</v>
      </c>
      <c r="C622" s="595">
        <v>1413</v>
      </c>
      <c r="D622" s="700">
        <f>SUM($L$555:$L$559)</f>
        <v>2092</v>
      </c>
      <c r="E622" s="701">
        <f t="shared" si="89"/>
        <v>7.2186836518046702E-3</v>
      </c>
      <c r="F622" s="701">
        <f t="shared" si="90"/>
        <v>0.6754302103250478</v>
      </c>
      <c r="G622" s="702">
        <f t="shared" si="92"/>
        <v>3.208887959545409E-2</v>
      </c>
      <c r="H622" s="702">
        <f t="shared" si="93"/>
        <v>-1.8017009143909118E-2</v>
      </c>
      <c r="I622" s="702">
        <f t="shared" si="94"/>
        <v>-5.4716986896274694E-3</v>
      </c>
      <c r="J622" s="703">
        <f t="shared" si="95"/>
        <v>555.94739175960706</v>
      </c>
      <c r="K622" s="703">
        <f t="shared" si="91"/>
        <v>-0.41899184441153453</v>
      </c>
      <c r="L622" s="704">
        <f t="shared" si="96"/>
        <v>-53.443431439819243</v>
      </c>
      <c r="M622" s="650"/>
    </row>
    <row r="623" spans="1:13" s="188" customFormat="1" ht="15.75" thickBot="1">
      <c r="A623" s="635"/>
      <c r="B623" s="682"/>
      <c r="C623" s="683"/>
      <c r="D623" s="675"/>
      <c r="E623" s="675"/>
      <c r="F623" s="676"/>
      <c r="G623" s="684"/>
      <c r="H623" s="684"/>
      <c r="I623" s="684"/>
      <c r="J623" s="650"/>
      <c r="K623" s="650"/>
      <c r="L623" s="650"/>
      <c r="M623" s="650"/>
    </row>
    <row r="624" spans="1:13" s="188" customFormat="1" ht="30.75" thickBot="1">
      <c r="A624" s="706" t="str">
        <f>A559</f>
        <v>Setor Energético</v>
      </c>
      <c r="B624" s="686" t="s">
        <v>603</v>
      </c>
      <c r="C624" s="686" t="s">
        <v>605</v>
      </c>
      <c r="D624" s="687" t="s">
        <v>599</v>
      </c>
      <c r="E624" s="686" t="s">
        <v>597</v>
      </c>
      <c r="F624" s="686" t="s">
        <v>598</v>
      </c>
      <c r="G624" s="686" t="s">
        <v>607</v>
      </c>
      <c r="H624" s="686" t="s">
        <v>608</v>
      </c>
      <c r="I624" s="686" t="s">
        <v>609</v>
      </c>
      <c r="J624" s="688" t="s">
        <v>613</v>
      </c>
      <c r="K624" s="688" t="s">
        <v>614</v>
      </c>
      <c r="L624" s="689" t="s">
        <v>617</v>
      </c>
      <c r="M624" s="650"/>
    </row>
    <row r="625" spans="1:14" s="188" customFormat="1">
      <c r="A625" s="690" t="s">
        <v>298</v>
      </c>
      <c r="B625" s="682" t="s">
        <v>604</v>
      </c>
      <c r="C625" s="682" t="s">
        <v>606</v>
      </c>
      <c r="D625" s="675" t="s">
        <v>602</v>
      </c>
      <c r="E625" s="682" t="s">
        <v>600</v>
      </c>
      <c r="F625" s="683" t="s">
        <v>601</v>
      </c>
      <c r="G625" s="683" t="s">
        <v>610</v>
      </c>
      <c r="H625" s="683" t="s">
        <v>611</v>
      </c>
      <c r="I625" s="683" t="s">
        <v>612</v>
      </c>
      <c r="J625" s="691" t="s">
        <v>616</v>
      </c>
      <c r="K625" s="691" t="s">
        <v>615</v>
      </c>
      <c r="L625" s="692" t="s">
        <v>618</v>
      </c>
      <c r="M625" s="650"/>
    </row>
    <row r="626" spans="1:14" s="188" customFormat="1">
      <c r="A626" s="693">
        <v>2000</v>
      </c>
      <c r="B626" s="707">
        <v>12.8</v>
      </c>
      <c r="C626" s="594">
        <v>59</v>
      </c>
      <c r="D626" s="694">
        <f>SUM($B$555:$B$559)</f>
        <v>1432</v>
      </c>
      <c r="E626" s="695">
        <f t="shared" ref="E626:E636" si="97">B626/C626</f>
        <v>0.2169491525423729</v>
      </c>
      <c r="F626" s="695">
        <f t="shared" ref="F626:F636" si="98">C626/D626</f>
        <v>4.1201117318435752E-2</v>
      </c>
      <c r="G626" s="696">
        <v>0</v>
      </c>
      <c r="H626" s="696">
        <v>0</v>
      </c>
      <c r="I626" s="696">
        <v>0</v>
      </c>
      <c r="J626" s="697">
        <v>0</v>
      </c>
      <c r="K626" s="697">
        <v>0</v>
      </c>
      <c r="L626" s="698">
        <v>0</v>
      </c>
      <c r="M626" s="650"/>
      <c r="N626" s="189"/>
    </row>
    <row r="627" spans="1:14" s="188" customFormat="1">
      <c r="A627" s="693">
        <v>2001</v>
      </c>
      <c r="B627" s="594">
        <v>13.6</v>
      </c>
      <c r="C627" s="594">
        <v>62</v>
      </c>
      <c r="D627" s="694">
        <f>SUM($C$555:$C$559)</f>
        <v>1489</v>
      </c>
      <c r="E627" s="695">
        <f t="shared" si="97"/>
        <v>0.21935483870967742</v>
      </c>
      <c r="F627" s="695">
        <f t="shared" si="98"/>
        <v>4.1638683680322364E-2</v>
      </c>
      <c r="G627" s="696">
        <f>LOG((D627/D626),10)</f>
        <v>1.6951679780339349E-2</v>
      </c>
      <c r="H627" s="696">
        <f>LOG((E627/E626),10)</f>
        <v>4.7892608662394223E-3</v>
      </c>
      <c r="I627" s="696">
        <f>LOG((F627/F626),10)</f>
        <v>4.5879980757703095E-3</v>
      </c>
      <c r="J627" s="697">
        <f>(D627-D626)*((G627)/(SUM(G627:I627)))</f>
        <v>36.699000961218161</v>
      </c>
      <c r="K627" s="697">
        <f t="shared" ref="K627:K636" si="99">(B627-B626)*((H627)/(SUM(G627:I627)))</f>
        <v>0.14552081773578196</v>
      </c>
      <c r="L627" s="698">
        <f>(C627-C626)*((I627)/(SUM(G627:I627)))</f>
        <v>0.52277056711091396</v>
      </c>
      <c r="M627" s="650"/>
    </row>
    <row r="628" spans="1:14" s="188" customFormat="1">
      <c r="A628" s="693">
        <v>2002</v>
      </c>
      <c r="B628" s="594">
        <v>14.4</v>
      </c>
      <c r="C628" s="594">
        <v>64</v>
      </c>
      <c r="D628" s="694">
        <f>SUM($D$555:$D$559)</f>
        <v>1529</v>
      </c>
      <c r="E628" s="695">
        <f t="shared" si="97"/>
        <v>0.22500000000000001</v>
      </c>
      <c r="F628" s="695">
        <f t="shared" si="98"/>
        <v>4.1857423152387184E-2</v>
      </c>
      <c r="G628" s="696">
        <f t="shared" ref="G628:G636" si="100">LOG((D628/D627),10)</f>
        <v>1.1512787660144016E-2</v>
      </c>
      <c r="H628" s="696">
        <f t="shared" ref="H628:H636" si="101">LOG((E628/E627),10)</f>
        <v>1.1035299239398805E-2</v>
      </c>
      <c r="I628" s="696">
        <f t="shared" ref="I628:I636" si="102">LOG((F628/F627),10)</f>
        <v>2.2754968254893636E-3</v>
      </c>
      <c r="J628" s="697">
        <f t="shared" ref="J628:J636" si="103">(D628-D627)*((G628)/(SUM(G628:I628)))</f>
        <v>18.551370805552921</v>
      </c>
      <c r="K628" s="697">
        <f t="shared" si="99"/>
        <v>0.35563919735797961</v>
      </c>
      <c r="L628" s="698">
        <f t="shared" ref="L628:L636" si="104">(C628-C627)*((I628)/(SUM(G628:I628)))</f>
        <v>0.18333346632740583</v>
      </c>
      <c r="M628" s="650"/>
    </row>
    <row r="629" spans="1:14" s="188" customFormat="1">
      <c r="A629" s="693">
        <v>2003</v>
      </c>
      <c r="B629" s="594">
        <v>15.8</v>
      </c>
      <c r="C629" s="594">
        <v>67</v>
      </c>
      <c r="D629" s="694">
        <f>SUM($E$555:$E$559)</f>
        <v>1546</v>
      </c>
      <c r="E629" s="695">
        <f t="shared" si="97"/>
        <v>0.23582089552238808</v>
      </c>
      <c r="F629" s="695">
        <f t="shared" si="98"/>
        <v>4.3337645536869342E-2</v>
      </c>
      <c r="G629" s="696">
        <f t="shared" si="100"/>
        <v>4.8020041699860221E-3</v>
      </c>
      <c r="H629" s="696">
        <f t="shared" si="101"/>
        <v>2.0399766142233749E-2</v>
      </c>
      <c r="I629" s="696">
        <f t="shared" si="102"/>
        <v>1.5092824546953286E-2</v>
      </c>
      <c r="J629" s="697">
        <f t="shared" si="103"/>
        <v>2.0259310504316534</v>
      </c>
      <c r="K629" s="697">
        <f t="shared" si="99"/>
        <v>0.70877180175012111</v>
      </c>
      <c r="L629" s="698">
        <f t="shared" si="104"/>
        <v>1.1236860377702054</v>
      </c>
      <c r="M629" s="650"/>
    </row>
    <row r="630" spans="1:14" s="188" customFormat="1">
      <c r="A630" s="693">
        <v>2004</v>
      </c>
      <c r="B630" s="594">
        <v>16.399999999999999</v>
      </c>
      <c r="C630" s="594">
        <v>69</v>
      </c>
      <c r="D630" s="694">
        <f>SUM($F$555:$F$559)</f>
        <v>1634</v>
      </c>
      <c r="E630" s="695">
        <f t="shared" si="97"/>
        <v>0.23768115942028983</v>
      </c>
      <c r="F630" s="695">
        <f t="shared" si="98"/>
        <v>4.2227662178702573E-2</v>
      </c>
      <c r="G630" s="696">
        <f t="shared" si="100"/>
        <v>2.4042562614090615E-2</v>
      </c>
      <c r="H630" s="696">
        <f t="shared" si="101"/>
        <v>3.4124730568462591E-3</v>
      </c>
      <c r="I630" s="696">
        <f t="shared" si="102"/>
        <v>-1.12682745776617E-2</v>
      </c>
      <c r="J630" s="697">
        <f t="shared" si="103"/>
        <v>130.70839174360617</v>
      </c>
      <c r="K630" s="697">
        <f t="shared" si="99"/>
        <v>0.12649126173601091</v>
      </c>
      <c r="L630" s="698">
        <f t="shared" si="104"/>
        <v>-1.3922828060201777</v>
      </c>
      <c r="M630" s="650"/>
    </row>
    <row r="631" spans="1:14" s="188" customFormat="1">
      <c r="A631" s="693">
        <v>2005</v>
      </c>
      <c r="B631" s="594">
        <v>17.600000000000001</v>
      </c>
      <c r="C631" s="594">
        <v>72</v>
      </c>
      <c r="D631" s="694">
        <f>SUM($G$555:$G$559)</f>
        <v>1685</v>
      </c>
      <c r="E631" s="695">
        <f t="shared" si="97"/>
        <v>0.24444444444444446</v>
      </c>
      <c r="F631" s="695">
        <f t="shared" si="98"/>
        <v>4.2729970326409496E-2</v>
      </c>
      <c r="G631" s="696">
        <f t="shared" si="100"/>
        <v>1.3347853010960789E-2</v>
      </c>
      <c r="H631" s="696">
        <f t="shared" si="101"/>
        <v>1.2185414072438833E-2</v>
      </c>
      <c r="I631" s="696">
        <f t="shared" si="102"/>
        <v>5.135552683052394E-3</v>
      </c>
      <c r="J631" s="697">
        <f t="shared" si="103"/>
        <v>22.196501487274318</v>
      </c>
      <c r="K631" s="697">
        <f t="shared" si="99"/>
        <v>0.47678707554706357</v>
      </c>
      <c r="L631" s="698">
        <f t="shared" si="104"/>
        <v>0.50235575305738389</v>
      </c>
      <c r="M631" s="650"/>
    </row>
    <row r="632" spans="1:14" s="188" customFormat="1">
      <c r="A632" s="693">
        <v>2006</v>
      </c>
      <c r="B632" s="594">
        <v>18.8</v>
      </c>
      <c r="C632" s="594">
        <v>74</v>
      </c>
      <c r="D632" s="694">
        <f>SUM($H$555:$H$559)</f>
        <v>1752</v>
      </c>
      <c r="E632" s="695">
        <f t="shared" si="97"/>
        <v>0.25405405405405407</v>
      </c>
      <c r="F632" s="695">
        <f t="shared" si="98"/>
        <v>4.2237442922374427E-2</v>
      </c>
      <c r="G632" s="696">
        <f t="shared" si="100"/>
        <v>1.6934196624704481E-2</v>
      </c>
      <c r="H632" s="696">
        <f t="shared" si="101"/>
        <v>1.674595814982225E-2</v>
      </c>
      <c r="I632" s="696">
        <f t="shared" si="102"/>
        <v>-5.0349733249967698E-3</v>
      </c>
      <c r="J632" s="697">
        <f t="shared" si="103"/>
        <v>39.608447789176694</v>
      </c>
      <c r="K632" s="697">
        <f t="shared" si="99"/>
        <v>0.70151937473995052</v>
      </c>
      <c r="L632" s="698">
        <f t="shared" si="104"/>
        <v>-0.35154068294996882</v>
      </c>
      <c r="M632" s="650"/>
    </row>
    <row r="633" spans="1:14" s="188" customFormat="1">
      <c r="A633" s="693">
        <v>2007</v>
      </c>
      <c r="B633" s="594">
        <v>21</v>
      </c>
      <c r="C633" s="594">
        <v>77</v>
      </c>
      <c r="D633" s="694">
        <f>SUM($I$555:$I$559)</f>
        <v>1858</v>
      </c>
      <c r="E633" s="695">
        <f t="shared" si="97"/>
        <v>0.27272727272727271</v>
      </c>
      <c r="F633" s="695">
        <f t="shared" si="98"/>
        <v>4.1442411194833155E-2</v>
      </c>
      <c r="G633" s="696">
        <f t="shared" si="100"/>
        <v>2.5511607825561024E-2</v>
      </c>
      <c r="H633" s="696">
        <f t="shared" si="101"/>
        <v>3.0802440028733676E-2</v>
      </c>
      <c r="I633" s="696">
        <f t="shared" si="102"/>
        <v>-8.2526023840553391E-3</v>
      </c>
      <c r="J633" s="697">
        <f t="shared" si="103"/>
        <v>56.266106918985287</v>
      </c>
      <c r="K633" s="697">
        <f t="shared" si="99"/>
        <v>1.4099735744563859</v>
      </c>
      <c r="L633" s="698">
        <f t="shared" si="104"/>
        <v>-0.5151282261682405</v>
      </c>
      <c r="M633" s="650"/>
    </row>
    <row r="634" spans="1:14" s="188" customFormat="1">
      <c r="A634" s="693">
        <v>2008</v>
      </c>
      <c r="B634" s="594">
        <v>24.5</v>
      </c>
      <c r="C634" s="594">
        <v>82</v>
      </c>
      <c r="D634" s="694">
        <f>SUM($J$555:$J$559)</f>
        <v>1954</v>
      </c>
      <c r="E634" s="695">
        <f t="shared" si="97"/>
        <v>0.29878048780487804</v>
      </c>
      <c r="F634" s="695">
        <f t="shared" si="98"/>
        <v>4.1965199590583417E-2</v>
      </c>
      <c r="G634" s="696">
        <f t="shared" si="100"/>
        <v>2.1878849725131332E-2</v>
      </c>
      <c r="H634" s="696">
        <f t="shared" si="101"/>
        <v>3.9623662419378348E-2</v>
      </c>
      <c r="I634" s="696">
        <f t="shared" si="102"/>
        <v>5.4442774861034639E-3</v>
      </c>
      <c r="J634" s="697">
        <f t="shared" si="103"/>
        <v>31.373716128908445</v>
      </c>
      <c r="K634" s="697">
        <f t="shared" si="99"/>
        <v>2.0715379965644827</v>
      </c>
      <c r="L634" s="698">
        <f t="shared" si="104"/>
        <v>0.40661228986056774</v>
      </c>
      <c r="M634" s="650"/>
    </row>
    <row r="635" spans="1:14" s="188" customFormat="1">
      <c r="A635" s="693">
        <v>2009</v>
      </c>
      <c r="B635" s="594">
        <v>24.4</v>
      </c>
      <c r="C635" s="594">
        <v>82</v>
      </c>
      <c r="D635" s="694">
        <f>SUM($K$555:$K$559)</f>
        <v>1943</v>
      </c>
      <c r="E635" s="695">
        <f t="shared" si="97"/>
        <v>0.29756097560975608</v>
      </c>
      <c r="F635" s="695">
        <f t="shared" si="98"/>
        <v>4.2202779207411223E-2</v>
      </c>
      <c r="G635" s="696">
        <f t="shared" si="100"/>
        <v>-2.451758782971727E-3</v>
      </c>
      <c r="H635" s="696">
        <f t="shared" si="101"/>
        <v>-1.776258025803063E-3</v>
      </c>
      <c r="I635" s="696">
        <f t="shared" si="102"/>
        <v>2.4517587829717782E-3</v>
      </c>
      <c r="J635" s="697">
        <f t="shared" si="103"/>
        <v>-15.183237019011743</v>
      </c>
      <c r="K635" s="697">
        <f t="shared" si="99"/>
        <v>-0.10000000000000434</v>
      </c>
      <c r="L635" s="698">
        <f t="shared" si="104"/>
        <v>0</v>
      </c>
      <c r="M635" s="650"/>
    </row>
    <row r="636" spans="1:14" s="188" customFormat="1" ht="15.75" thickBot="1">
      <c r="A636" s="699">
        <v>2010</v>
      </c>
      <c r="B636" s="595">
        <v>25.3</v>
      </c>
      <c r="C636" s="595">
        <v>95</v>
      </c>
      <c r="D636" s="700">
        <f>SUM($L$555:$L$559)</f>
        <v>2092</v>
      </c>
      <c r="E636" s="701">
        <f t="shared" si="97"/>
        <v>0.26631578947368423</v>
      </c>
      <c r="F636" s="701">
        <f t="shared" si="98"/>
        <v>4.5411089866156787E-2</v>
      </c>
      <c r="G636" s="702">
        <f t="shared" si="100"/>
        <v>3.208887959545409E-2</v>
      </c>
      <c r="H636" s="702">
        <f t="shared" si="101"/>
        <v>-4.817905806804252E-2</v>
      </c>
      <c r="I636" s="702">
        <f t="shared" si="102"/>
        <v>3.1820873309676929E-2</v>
      </c>
      <c r="J636" s="703">
        <f t="shared" si="103"/>
        <v>303.9435390005691</v>
      </c>
      <c r="K636" s="703">
        <f t="shared" si="99"/>
        <v>-2.7564677028127913</v>
      </c>
      <c r="L636" s="704">
        <f t="shared" si="104"/>
        <v>26.297080790765886</v>
      </c>
      <c r="M636" s="650"/>
    </row>
    <row r="637" spans="1:14" s="188" customFormat="1" ht="15.75" thickBot="1">
      <c r="A637" s="635"/>
      <c r="B637" s="682"/>
      <c r="C637" s="683"/>
      <c r="D637" s="675"/>
      <c r="E637" s="675"/>
      <c r="F637" s="676"/>
      <c r="G637" s="684"/>
      <c r="H637" s="684"/>
      <c r="I637" s="684"/>
      <c r="J637" s="650"/>
      <c r="K637" s="650"/>
      <c r="L637" s="650"/>
      <c r="M637" s="650"/>
    </row>
    <row r="638" spans="1:14" s="188" customFormat="1" ht="18" thickBot="1">
      <c r="A638" s="1042" t="s">
        <v>883</v>
      </c>
      <c r="B638" s="1043"/>
      <c r="C638" s="1043"/>
      <c r="D638" s="1043"/>
      <c r="E638" s="1043"/>
      <c r="F638" s="1044"/>
      <c r="G638" s="684"/>
      <c r="H638" s="684"/>
      <c r="I638" s="684"/>
      <c r="J638" s="650"/>
      <c r="K638" s="650"/>
      <c r="L638" s="650"/>
      <c r="M638" s="650"/>
    </row>
    <row r="639" spans="1:14" s="188" customFormat="1" ht="30.75" customHeight="1" thickBot="1">
      <c r="A639" s="708" t="s">
        <v>298</v>
      </c>
      <c r="B639" s="709" t="str">
        <f>A624</f>
        <v>Setor Energético</v>
      </c>
      <c r="C639" s="709" t="str">
        <f>A610</f>
        <v>Comercial e Público</v>
      </c>
      <c r="D639" s="709" t="str">
        <f>A596</f>
        <v>Indústria</v>
      </c>
      <c r="E639" s="709" t="str">
        <f>A582</f>
        <v>Agropecuário</v>
      </c>
      <c r="F639" s="710" t="str">
        <f>A568</f>
        <v>Transporte</v>
      </c>
      <c r="G639" s="684"/>
      <c r="H639" s="684"/>
      <c r="I639" s="684"/>
      <c r="J639" s="650"/>
      <c r="K639" s="650"/>
      <c r="L639" s="650"/>
      <c r="M639" s="650"/>
    </row>
    <row r="640" spans="1:14" s="188" customFormat="1">
      <c r="A640" s="690">
        <v>2000</v>
      </c>
      <c r="B640" s="711">
        <f t="shared" ref="B640:B650" si="105">E626*1000</f>
        <v>216.9491525423729</v>
      </c>
      <c r="C640" s="711">
        <f>E612*1000</f>
        <v>8.6680761099365746</v>
      </c>
      <c r="D640" s="711">
        <f>E598*1000</f>
        <v>208.16326530612244</v>
      </c>
      <c r="E640" s="711">
        <f>E584*1000</f>
        <v>101.38888888888889</v>
      </c>
      <c r="F640" s="712">
        <f>E570*1000</f>
        <v>777.04918032786884</v>
      </c>
      <c r="G640" s="684"/>
      <c r="H640" s="684"/>
      <c r="I640" s="684"/>
      <c r="J640" s="650"/>
      <c r="K640" s="650"/>
      <c r="L640" s="650"/>
      <c r="M640" s="650"/>
    </row>
    <row r="641" spans="1:13" s="188" customFormat="1">
      <c r="A641" s="690">
        <v>2001</v>
      </c>
      <c r="B641" s="711">
        <f t="shared" si="105"/>
        <v>219.35483870967744</v>
      </c>
      <c r="C641" s="711">
        <f t="shared" ref="C641:C650" si="106">E613*1000</f>
        <v>8.0203045685279193</v>
      </c>
      <c r="D641" s="711">
        <f t="shared" ref="D641:D650" si="107">E599*1000</f>
        <v>202.97029702970298</v>
      </c>
      <c r="E641" s="711">
        <f t="shared" ref="E641:E650" si="108">E585*1000</f>
        <v>102.66666666666667</v>
      </c>
      <c r="F641" s="712">
        <f t="shared" ref="F641:F650" si="109">E571*1000</f>
        <v>746.875</v>
      </c>
      <c r="G641" s="684"/>
      <c r="H641" s="684"/>
      <c r="I641" s="684"/>
      <c r="J641" s="650"/>
      <c r="K641" s="650"/>
      <c r="L641" s="650"/>
      <c r="M641" s="650"/>
    </row>
    <row r="642" spans="1:13" s="188" customFormat="1">
      <c r="A642" s="690">
        <v>2002</v>
      </c>
      <c r="B642" s="711">
        <f t="shared" si="105"/>
        <v>225</v>
      </c>
      <c r="C642" s="711">
        <f t="shared" si="106"/>
        <v>8.0198019801980198</v>
      </c>
      <c r="D642" s="711">
        <f t="shared" si="107"/>
        <v>211.65048543689321</v>
      </c>
      <c r="E642" s="711">
        <f t="shared" si="108"/>
        <v>97.5</v>
      </c>
      <c r="F642" s="712">
        <f t="shared" si="109"/>
        <v>745.4545454545455</v>
      </c>
      <c r="G642" s="684"/>
      <c r="H642" s="684"/>
      <c r="I642" s="684"/>
      <c r="J642" s="650"/>
      <c r="K642" s="650"/>
      <c r="L642" s="650"/>
      <c r="M642" s="650"/>
    </row>
    <row r="643" spans="1:13" s="188" customFormat="1">
      <c r="A643" s="690">
        <v>2003</v>
      </c>
      <c r="B643" s="711">
        <f t="shared" si="105"/>
        <v>235.82089552238807</v>
      </c>
      <c r="C643" s="711">
        <f t="shared" si="106"/>
        <v>8.0392156862745079</v>
      </c>
      <c r="D643" s="711">
        <f t="shared" si="107"/>
        <v>219.935691318328</v>
      </c>
      <c r="E643" s="711">
        <f t="shared" si="108"/>
        <v>97.619047619047606</v>
      </c>
      <c r="F643" s="712">
        <f t="shared" si="109"/>
        <v>753.125</v>
      </c>
      <c r="G643" s="684"/>
      <c r="H643" s="684"/>
      <c r="I643" s="684"/>
      <c r="J643" s="650"/>
      <c r="K643" s="650"/>
      <c r="L643" s="650"/>
      <c r="M643" s="650"/>
    </row>
    <row r="644" spans="1:13" s="188" customFormat="1">
      <c r="A644" s="690">
        <v>2004</v>
      </c>
      <c r="B644" s="711">
        <f t="shared" si="105"/>
        <v>237.68115942028984</v>
      </c>
      <c r="C644" s="711">
        <f t="shared" si="106"/>
        <v>7.9217148182665431</v>
      </c>
      <c r="D644" s="711">
        <f t="shared" si="107"/>
        <v>213.60946745562131</v>
      </c>
      <c r="E644" s="711">
        <f t="shared" si="108"/>
        <v>96.511627906976742</v>
      </c>
      <c r="F644" s="712">
        <f t="shared" si="109"/>
        <v>757.35294117647061</v>
      </c>
      <c r="G644" s="684"/>
      <c r="H644" s="684"/>
      <c r="I644" s="684"/>
      <c r="J644" s="650"/>
      <c r="K644" s="650"/>
      <c r="L644" s="650"/>
      <c r="M644" s="650"/>
    </row>
    <row r="645" spans="1:13" s="188" customFormat="1">
      <c r="A645" s="690">
        <v>2005</v>
      </c>
      <c r="B645" s="711">
        <f t="shared" si="105"/>
        <v>244.44444444444446</v>
      </c>
      <c r="C645" s="711">
        <f t="shared" si="106"/>
        <v>7.9964061096136581</v>
      </c>
      <c r="D645" s="711">
        <f t="shared" si="107"/>
        <v>214.28571428571428</v>
      </c>
      <c r="E645" s="711">
        <f t="shared" si="108"/>
        <v>96.551724137931032</v>
      </c>
      <c r="F645" s="712">
        <f t="shared" si="109"/>
        <v>750</v>
      </c>
      <c r="G645" s="684"/>
      <c r="H645" s="684"/>
      <c r="I645" s="684"/>
      <c r="J645" s="650"/>
      <c r="K645" s="650"/>
      <c r="L645" s="650"/>
      <c r="M645" s="650"/>
    </row>
    <row r="646" spans="1:13" s="188" customFormat="1">
      <c r="A646" s="690">
        <v>2006</v>
      </c>
      <c r="B646" s="711">
        <f t="shared" si="105"/>
        <v>254.05405405405406</v>
      </c>
      <c r="C646" s="711">
        <f t="shared" si="106"/>
        <v>7.8111587982832615</v>
      </c>
      <c r="D646" s="711">
        <f t="shared" si="107"/>
        <v>218.80341880341879</v>
      </c>
      <c r="E646" s="711">
        <f t="shared" si="108"/>
        <v>94.505494505494497</v>
      </c>
      <c r="F646" s="712">
        <f t="shared" si="109"/>
        <v>750.70422535211264</v>
      </c>
      <c r="G646" s="684"/>
      <c r="H646" s="684"/>
      <c r="I646" s="684"/>
      <c r="J646" s="650"/>
      <c r="K646" s="650"/>
      <c r="L646" s="650"/>
      <c r="M646" s="650"/>
    </row>
    <row r="647" spans="1:13" s="188" customFormat="1">
      <c r="A647" s="690">
        <v>2007</v>
      </c>
      <c r="B647" s="711">
        <f t="shared" si="105"/>
        <v>272.72727272727269</v>
      </c>
      <c r="C647" s="711">
        <f t="shared" si="106"/>
        <v>7.6551168412570512</v>
      </c>
      <c r="D647" s="711">
        <f t="shared" si="107"/>
        <v>221.35135135135135</v>
      </c>
      <c r="E647" s="711">
        <f t="shared" si="108"/>
        <v>95.78947368421052</v>
      </c>
      <c r="F647" s="712">
        <f t="shared" si="109"/>
        <v>768</v>
      </c>
      <c r="G647" s="684"/>
      <c r="H647" s="684"/>
      <c r="I647" s="684"/>
      <c r="J647" s="650"/>
      <c r="K647" s="650"/>
      <c r="L647" s="650"/>
      <c r="M647" s="650"/>
    </row>
    <row r="648" spans="1:13" s="188" customFormat="1">
      <c r="A648" s="690">
        <v>2008</v>
      </c>
      <c r="B648" s="711">
        <f t="shared" si="105"/>
        <v>298.78048780487802</v>
      </c>
      <c r="C648" s="711">
        <f t="shared" si="106"/>
        <v>7.4581430745814314</v>
      </c>
      <c r="D648" s="711">
        <f t="shared" si="107"/>
        <v>213.76623376623377</v>
      </c>
      <c r="E648" s="711">
        <f t="shared" si="108"/>
        <v>98.019801980198025</v>
      </c>
      <c r="F648" s="712">
        <f t="shared" si="109"/>
        <v>866.66666666666674</v>
      </c>
      <c r="G648" s="684"/>
      <c r="H648" s="684"/>
      <c r="I648" s="684"/>
      <c r="J648" s="650"/>
      <c r="K648" s="650"/>
      <c r="L648" s="650"/>
      <c r="M648" s="650"/>
    </row>
    <row r="649" spans="1:13" s="188" customFormat="1">
      <c r="A649" s="690">
        <v>2009</v>
      </c>
      <c r="B649" s="711">
        <f t="shared" si="105"/>
        <v>297.5609756097561</v>
      </c>
      <c r="C649" s="711">
        <f t="shared" si="106"/>
        <v>7.5244544770504138</v>
      </c>
      <c r="D649" s="711">
        <f t="shared" si="107"/>
        <v>213.40782122905031</v>
      </c>
      <c r="E649" s="711">
        <f t="shared" si="108"/>
        <v>98.958333333333329</v>
      </c>
      <c r="F649" s="712">
        <f t="shared" si="109"/>
        <v>803.84615384615392</v>
      </c>
      <c r="G649" s="684"/>
      <c r="H649" s="684"/>
      <c r="I649" s="684"/>
      <c r="J649" s="650"/>
      <c r="K649" s="650"/>
      <c r="L649" s="650"/>
      <c r="M649" s="650"/>
    </row>
    <row r="650" spans="1:13" s="188" customFormat="1" ht="15.75" thickBot="1">
      <c r="A650" s="713">
        <v>2010</v>
      </c>
      <c r="B650" s="714">
        <f t="shared" si="105"/>
        <v>266.31578947368422</v>
      </c>
      <c r="C650" s="714">
        <f t="shared" si="106"/>
        <v>7.2186836518046702</v>
      </c>
      <c r="D650" s="714">
        <f t="shared" si="107"/>
        <v>222.02072538860105</v>
      </c>
      <c r="E650" s="714">
        <f t="shared" si="108"/>
        <v>96.116504854368941</v>
      </c>
      <c r="F650" s="715">
        <f t="shared" si="109"/>
        <v>730.52631578947364</v>
      </c>
      <c r="G650" s="684"/>
      <c r="H650" s="684"/>
      <c r="I650" s="684"/>
      <c r="J650" s="650"/>
      <c r="K650" s="650"/>
      <c r="L650" s="650"/>
      <c r="M650" s="650"/>
    </row>
    <row r="651" spans="1:13" s="188" customFormat="1">
      <c r="A651" s="635"/>
      <c r="B651" s="682"/>
      <c r="C651" s="683"/>
      <c r="D651" s="675"/>
      <c r="E651" s="675"/>
      <c r="F651" s="676"/>
      <c r="G651" s="684"/>
      <c r="H651" s="684"/>
      <c r="I651" s="684"/>
      <c r="J651" s="650"/>
      <c r="K651" s="650"/>
      <c r="L651" s="650"/>
      <c r="M651" s="650"/>
    </row>
    <row r="652" spans="1:13" s="188" customFormat="1">
      <c r="A652" s="635"/>
      <c r="B652" s="682"/>
      <c r="C652" s="683"/>
      <c r="D652" s="675"/>
      <c r="E652" s="675"/>
      <c r="F652" s="676"/>
      <c r="G652" s="684"/>
      <c r="H652" s="684"/>
      <c r="I652" s="684"/>
      <c r="J652" s="650"/>
      <c r="K652" s="650"/>
      <c r="L652" s="650"/>
      <c r="M652" s="650"/>
    </row>
    <row r="653" spans="1:13" s="188" customFormat="1">
      <c r="A653" s="178"/>
      <c r="B653" s="183"/>
      <c r="C653" s="184"/>
      <c r="D653" s="185"/>
      <c r="E653" s="185"/>
      <c r="F653" s="186"/>
      <c r="G653" s="187"/>
      <c r="H653" s="187"/>
      <c r="I653" s="187"/>
    </row>
    <row r="654" spans="1:13" s="188" customFormat="1">
      <c r="A654" s="178"/>
      <c r="B654" s="183"/>
      <c r="C654" s="184"/>
      <c r="D654" s="185"/>
      <c r="E654" s="185"/>
      <c r="F654" s="186"/>
      <c r="G654" s="187"/>
      <c r="H654" s="187"/>
      <c r="I654" s="187"/>
    </row>
    <row r="655" spans="1:13" s="188" customFormat="1">
      <c r="A655" s="178"/>
      <c r="B655" s="183"/>
      <c r="C655" s="184"/>
      <c r="D655" s="185"/>
      <c r="E655" s="185"/>
      <c r="F655" s="186"/>
      <c r="G655" s="187"/>
      <c r="H655" s="187"/>
      <c r="I655" s="187"/>
    </row>
    <row r="656" spans="1:13" s="188" customFormat="1">
      <c r="A656" s="178"/>
      <c r="B656" s="183"/>
      <c r="C656" s="184"/>
      <c r="D656" s="185"/>
      <c r="E656" s="185"/>
      <c r="F656" s="186"/>
      <c r="G656" s="187"/>
      <c r="H656" s="187"/>
      <c r="I656" s="187"/>
    </row>
    <row r="657" spans="1:10" s="188" customFormat="1">
      <c r="A657" s="178"/>
      <c r="B657" s="183"/>
      <c r="C657" s="184"/>
      <c r="D657" s="185"/>
      <c r="E657" s="185"/>
      <c r="F657" s="186"/>
      <c r="G657" s="187"/>
      <c r="H657" s="187"/>
      <c r="I657" s="187"/>
    </row>
    <row r="658" spans="1:10" s="188" customFormat="1">
      <c r="A658" s="178"/>
      <c r="B658" s="183"/>
      <c r="C658" s="184"/>
      <c r="D658" s="185"/>
      <c r="E658" s="185"/>
      <c r="F658" s="186"/>
      <c r="G658" s="187"/>
      <c r="H658" s="187"/>
      <c r="I658" s="187"/>
    </row>
    <row r="659" spans="1:10" s="188" customFormat="1">
      <c r="A659" s="178"/>
      <c r="B659" s="183"/>
      <c r="C659" s="184"/>
      <c r="D659" s="185"/>
      <c r="E659" s="185"/>
      <c r="F659" s="186"/>
      <c r="G659" s="187"/>
      <c r="H659" s="187"/>
      <c r="I659" s="187"/>
    </row>
    <row r="660" spans="1:10" s="188" customFormat="1">
      <c r="A660" s="178"/>
      <c r="B660" s="183"/>
      <c r="C660" s="184"/>
      <c r="D660" s="185"/>
      <c r="E660" s="185"/>
      <c r="F660" s="186"/>
      <c r="G660" s="187"/>
      <c r="H660" s="187"/>
      <c r="I660" s="187"/>
    </row>
    <row r="661" spans="1:10" s="188" customFormat="1">
      <c r="A661" s="178"/>
      <c r="B661" s="183"/>
      <c r="C661" s="184"/>
      <c r="D661" s="185"/>
      <c r="E661" s="185"/>
      <c r="F661" s="186"/>
      <c r="G661" s="187"/>
      <c r="H661" s="187"/>
      <c r="I661" s="187"/>
    </row>
    <row r="662" spans="1:10" s="188" customFormat="1">
      <c r="A662" s="178"/>
      <c r="B662" s="183"/>
      <c r="C662" s="184"/>
      <c r="D662" s="185"/>
      <c r="E662" s="185"/>
      <c r="F662" s="186"/>
      <c r="G662" s="187"/>
      <c r="H662" s="187"/>
      <c r="I662" s="187"/>
    </row>
    <row r="663" spans="1:10" s="188" customFormat="1">
      <c r="A663" s="178"/>
      <c r="B663" s="183"/>
      <c r="C663" s="184"/>
      <c r="D663" s="185"/>
      <c r="E663" s="185"/>
      <c r="F663" s="186"/>
      <c r="G663" s="187"/>
      <c r="H663" s="187"/>
      <c r="I663" s="187"/>
    </row>
    <row r="664" spans="1:10" s="188" customFormat="1">
      <c r="A664" s="178"/>
      <c r="B664" s="183"/>
      <c r="C664" s="184"/>
      <c r="D664" s="185"/>
      <c r="E664" s="185"/>
      <c r="F664" s="186"/>
      <c r="G664" s="187"/>
      <c r="H664" s="187"/>
      <c r="I664" s="187"/>
    </row>
    <row r="665" spans="1:10" s="188" customFormat="1">
      <c r="A665" s="178"/>
      <c r="B665" s="183"/>
      <c r="C665" s="184"/>
      <c r="D665" s="185"/>
      <c r="E665" s="185"/>
      <c r="F665" s="186"/>
      <c r="G665" s="187"/>
      <c r="H665" s="187"/>
      <c r="I665" s="187"/>
    </row>
    <row r="666" spans="1:10" s="188" customFormat="1">
      <c r="A666" s="178"/>
      <c r="B666" s="183"/>
      <c r="C666" s="184"/>
      <c r="D666" s="185"/>
      <c r="E666" s="185"/>
      <c r="F666" s="186"/>
      <c r="G666" s="187"/>
      <c r="H666" s="187"/>
      <c r="I666" s="187"/>
    </row>
    <row r="667" spans="1:10" s="188" customFormat="1">
      <c r="A667" s="178"/>
      <c r="B667" s="183"/>
      <c r="C667" s="184"/>
      <c r="D667" s="185"/>
      <c r="E667" s="185"/>
      <c r="F667" s="186"/>
      <c r="G667" s="187"/>
      <c r="H667" s="187"/>
      <c r="I667" s="187"/>
    </row>
    <row r="668" spans="1:10" s="188" customFormat="1">
      <c r="A668" s="178"/>
      <c r="B668" s="183"/>
      <c r="C668" s="184"/>
      <c r="D668" s="185"/>
      <c r="E668" s="185"/>
      <c r="F668" s="186"/>
      <c r="G668" s="187"/>
      <c r="H668" s="187"/>
      <c r="I668" s="187"/>
    </row>
    <row r="669" spans="1:10" s="188" customFormat="1">
      <c r="A669" s="178"/>
      <c r="B669" s="183"/>
      <c r="C669" s="184"/>
      <c r="D669" s="185"/>
      <c r="E669" s="185"/>
      <c r="F669" s="186"/>
      <c r="G669" s="187"/>
      <c r="H669" s="187"/>
      <c r="I669" s="187"/>
    </row>
    <row r="671" spans="1:10" ht="38.1" customHeight="1">
      <c r="A671" s="1013" t="s">
        <v>999</v>
      </c>
      <c r="B671" s="1051"/>
      <c r="C671" s="1051"/>
      <c r="D671" s="1051"/>
      <c r="E671" s="1051"/>
      <c r="F671" s="1051"/>
      <c r="G671" s="1051"/>
      <c r="H671" s="1051"/>
      <c r="I671" s="1051"/>
      <c r="J671" s="1051"/>
    </row>
    <row r="672" spans="1:10" ht="24.75" customHeight="1" thickBot="1">
      <c r="A672" s="529" t="s">
        <v>833</v>
      </c>
      <c r="B672" s="529"/>
      <c r="C672" s="529"/>
      <c r="D672" s="529"/>
      <c r="E672" s="529"/>
      <c r="F672" s="529"/>
      <c r="G672" s="190"/>
      <c r="H672" s="64"/>
      <c r="I672" s="64"/>
      <c r="J672" s="64"/>
    </row>
    <row r="673" spans="1:16" ht="28.5" customHeight="1">
      <c r="A673" s="1057" t="s">
        <v>298</v>
      </c>
      <c r="B673" s="717" t="s">
        <v>537</v>
      </c>
      <c r="C673" s="718" t="s">
        <v>143</v>
      </c>
      <c r="D673" s="717" t="s">
        <v>538</v>
      </c>
      <c r="E673" s="593" t="s">
        <v>539</v>
      </c>
      <c r="F673" s="529"/>
      <c r="G673" s="190"/>
      <c r="H673" s="64"/>
      <c r="I673" s="64"/>
      <c r="J673" s="64"/>
    </row>
    <row r="674" spans="1:16" ht="15.75" customHeight="1" thickBot="1">
      <c r="A674" s="1058"/>
      <c r="B674" s="716" t="s">
        <v>884</v>
      </c>
      <c r="C674" s="716" t="s">
        <v>540</v>
      </c>
      <c r="D674" s="716" t="s">
        <v>540</v>
      </c>
      <c r="E674" s="716" t="s">
        <v>540</v>
      </c>
      <c r="F674" s="529"/>
      <c r="G674" s="190"/>
      <c r="H674" s="64"/>
      <c r="I674" s="64"/>
      <c r="J674" s="64"/>
    </row>
    <row r="675" spans="1:16">
      <c r="A675" s="597">
        <v>2001</v>
      </c>
      <c r="B675" s="597">
        <v>306</v>
      </c>
      <c r="C675" s="597">
        <v>175</v>
      </c>
      <c r="D675" s="597">
        <v>1398</v>
      </c>
      <c r="E675" s="597">
        <v>31.9</v>
      </c>
      <c r="F675" s="529"/>
      <c r="G675" s="190"/>
      <c r="H675" s="64"/>
      <c r="I675" s="64"/>
      <c r="J675" s="64"/>
    </row>
    <row r="676" spans="1:16">
      <c r="A676" s="597">
        <v>2002</v>
      </c>
      <c r="B676" s="597">
        <v>296</v>
      </c>
      <c r="C676" s="597">
        <v>177</v>
      </c>
      <c r="D676" s="597">
        <v>1435</v>
      </c>
      <c r="E676" s="597">
        <v>35.5</v>
      </c>
      <c r="F676" s="529"/>
      <c r="G676" s="190"/>
      <c r="H676" s="64"/>
      <c r="I676" s="64"/>
      <c r="J676" s="64"/>
    </row>
    <row r="677" spans="1:16">
      <c r="A677" s="597">
        <v>2003</v>
      </c>
      <c r="B677" s="597">
        <v>286</v>
      </c>
      <c r="C677" s="597">
        <v>180</v>
      </c>
      <c r="D677" s="597">
        <v>1451</v>
      </c>
      <c r="E677" s="597">
        <v>36.6</v>
      </c>
      <c r="F677" s="529"/>
      <c r="G677" s="190"/>
      <c r="H677" s="64"/>
      <c r="I677" s="64"/>
      <c r="J677" s="64"/>
    </row>
    <row r="678" spans="1:16">
      <c r="A678" s="597">
        <v>2004</v>
      </c>
      <c r="B678" s="597">
        <v>295</v>
      </c>
      <c r="C678" s="597">
        <v>182</v>
      </c>
      <c r="D678" s="597">
        <v>1534</v>
      </c>
      <c r="E678" s="597">
        <v>39.200000000000003</v>
      </c>
      <c r="F678" s="529"/>
      <c r="G678" s="190"/>
      <c r="H678" s="64"/>
      <c r="I678" s="64"/>
      <c r="J678" s="64"/>
    </row>
    <row r="679" spans="1:16">
      <c r="A679" s="597">
        <v>2005</v>
      </c>
      <c r="B679" s="597">
        <v>306</v>
      </c>
      <c r="C679" s="597">
        <v>184</v>
      </c>
      <c r="D679" s="597">
        <v>1583</v>
      </c>
      <c r="E679" s="597">
        <v>42.1</v>
      </c>
      <c r="F679" s="529"/>
      <c r="G679" s="190"/>
      <c r="H679" s="64"/>
      <c r="I679" s="64"/>
      <c r="J679" s="64"/>
    </row>
    <row r="680" spans="1:16">
      <c r="A680" s="597">
        <v>2006</v>
      </c>
      <c r="B680" s="597">
        <v>318</v>
      </c>
      <c r="C680" s="597">
        <v>186</v>
      </c>
      <c r="D680" s="597">
        <v>1645</v>
      </c>
      <c r="E680" s="597">
        <v>45.4</v>
      </c>
      <c r="F680" s="529"/>
      <c r="G680" s="190"/>
      <c r="H680" s="64"/>
      <c r="I680" s="64"/>
      <c r="J680" s="64"/>
    </row>
    <row r="681" spans="1:16">
      <c r="A681" s="597">
        <v>2007</v>
      </c>
      <c r="B681" s="597">
        <v>327</v>
      </c>
      <c r="C681" s="597">
        <v>188</v>
      </c>
      <c r="D681" s="597">
        <v>1745</v>
      </c>
      <c r="E681" s="597">
        <v>49.6</v>
      </c>
      <c r="F681" s="529"/>
      <c r="G681" s="190"/>
      <c r="H681" s="64"/>
      <c r="I681" s="64"/>
      <c r="J681" s="64"/>
    </row>
    <row r="682" spans="1:16">
      <c r="A682" s="597">
        <v>2008</v>
      </c>
      <c r="B682" s="597">
        <v>331</v>
      </c>
      <c r="C682" s="597">
        <v>190</v>
      </c>
      <c r="D682" s="597">
        <v>1836</v>
      </c>
      <c r="E682" s="597">
        <v>54.5</v>
      </c>
      <c r="F682" s="529"/>
      <c r="G682" s="190"/>
      <c r="H682" s="64"/>
      <c r="I682" s="64"/>
      <c r="J682" s="64"/>
    </row>
    <row r="683" spans="1:16">
      <c r="A683" s="597">
        <v>2009</v>
      </c>
      <c r="B683" s="597">
        <v>336</v>
      </c>
      <c r="C683" s="597">
        <v>192</v>
      </c>
      <c r="D683" s="597">
        <v>1824</v>
      </c>
      <c r="E683" s="597">
        <v>59.3</v>
      </c>
      <c r="F683" s="529"/>
      <c r="G683" s="190"/>
      <c r="H683" s="64"/>
      <c r="I683" s="64"/>
      <c r="J683" s="64"/>
    </row>
    <row r="684" spans="1:16" ht="15.75" thickBot="1">
      <c r="A684" s="716">
        <v>2010</v>
      </c>
      <c r="B684" s="716">
        <v>356</v>
      </c>
      <c r="C684" s="716">
        <v>194</v>
      </c>
      <c r="D684" s="716">
        <v>1960</v>
      </c>
      <c r="E684" s="716">
        <v>64.8</v>
      </c>
      <c r="F684" s="529"/>
      <c r="G684" s="190"/>
      <c r="H684" s="64"/>
      <c r="I684" s="64"/>
      <c r="J684" s="64"/>
    </row>
    <row r="685" spans="1:16" ht="34.5" customHeight="1">
      <c r="A685" s="1052" t="s">
        <v>834</v>
      </c>
      <c r="B685" s="1053"/>
      <c r="C685" s="1053"/>
      <c r="D685" s="1053"/>
      <c r="E685" s="1053"/>
      <c r="F685" s="1053"/>
      <c r="G685" s="1053"/>
      <c r="H685" s="1053"/>
      <c r="I685" s="1053"/>
      <c r="J685" s="1053"/>
    </row>
    <row r="686" spans="1:16" ht="15.75" thickBot="1">
      <c r="A686" s="650" t="s">
        <v>835</v>
      </c>
      <c r="B686" s="650"/>
      <c r="C686" s="650"/>
      <c r="D686" s="650"/>
      <c r="E686" s="650"/>
      <c r="F686" s="650"/>
      <c r="G686" s="650"/>
      <c r="H686" s="650"/>
      <c r="I686" s="650"/>
      <c r="J686" s="650"/>
      <c r="K686" s="527"/>
      <c r="L686" s="527"/>
      <c r="M686" s="527"/>
      <c r="N686" s="527"/>
      <c r="O686" s="527"/>
      <c r="P686" s="527"/>
    </row>
    <row r="687" spans="1:16" ht="27.95" customHeight="1" thickBot="1">
      <c r="A687" s="1054" t="s">
        <v>546</v>
      </c>
      <c r="B687" s="1054"/>
      <c r="C687" s="1054"/>
      <c r="D687" s="720" t="s">
        <v>541</v>
      </c>
      <c r="E687" s="720" t="s">
        <v>532</v>
      </c>
      <c r="F687" s="720" t="s">
        <v>542</v>
      </c>
      <c r="G687" s="650"/>
      <c r="H687" s="650"/>
      <c r="I687" s="650"/>
      <c r="J687" s="650"/>
      <c r="K687" s="527"/>
      <c r="L687" s="527"/>
      <c r="M687" s="527"/>
      <c r="N687" s="527"/>
      <c r="O687" s="527"/>
      <c r="P687" s="527"/>
    </row>
    <row r="688" spans="1:16">
      <c r="A688" s="650" t="s">
        <v>543</v>
      </c>
      <c r="B688" s="650"/>
      <c r="C688" s="650"/>
      <c r="D688" s="721">
        <v>1.0999999999999999E-2</v>
      </c>
      <c r="E688" s="721">
        <v>1.2E-2</v>
      </c>
      <c r="F688" s="721">
        <v>1.0999999999999999E-2</v>
      </c>
      <c r="G688" s="650"/>
      <c r="H688" s="650"/>
      <c r="I688" s="650"/>
      <c r="J688" s="650"/>
      <c r="K688" s="527"/>
      <c r="L688" s="527"/>
      <c r="M688" s="527"/>
      <c r="N688" s="527"/>
      <c r="O688" s="527"/>
      <c r="P688" s="527"/>
    </row>
    <row r="689" spans="1:16">
      <c r="A689" s="650" t="s">
        <v>544</v>
      </c>
      <c r="B689" s="650"/>
      <c r="C689" s="650"/>
      <c r="D689" s="721">
        <v>2.8000000000000001E-2</v>
      </c>
      <c r="E689" s="721">
        <v>4.4999999999999998E-2</v>
      </c>
      <c r="F689" s="721">
        <v>1.9E-2</v>
      </c>
      <c r="G689" s="650"/>
      <c r="H689" s="650"/>
      <c r="I689" s="650"/>
      <c r="J689" s="650"/>
      <c r="K689" s="527"/>
      <c r="L689" s="527"/>
      <c r="M689" s="527"/>
      <c r="N689" s="527"/>
      <c r="O689" s="527"/>
      <c r="P689" s="527"/>
    </row>
    <row r="690" spans="1:16" ht="15.75" thickBot="1">
      <c r="A690" s="719" t="s">
        <v>545</v>
      </c>
      <c r="B690" s="719"/>
      <c r="C690" s="719"/>
      <c r="D690" s="722">
        <v>0.05</v>
      </c>
      <c r="E690" s="722">
        <v>0.08</v>
      </c>
      <c r="F690" s="722">
        <v>2.5000000000000001E-2</v>
      </c>
      <c r="G690" s="650"/>
      <c r="H690" s="650"/>
      <c r="I690" s="650"/>
      <c r="J690" s="650"/>
      <c r="K690" s="527"/>
      <c r="L690" s="527"/>
      <c r="M690" s="527"/>
      <c r="N690" s="527"/>
      <c r="O690" s="527"/>
      <c r="P690" s="527"/>
    </row>
    <row r="691" spans="1:16">
      <c r="A691" s="527"/>
      <c r="B691" s="527"/>
      <c r="C691" s="527"/>
      <c r="D691" s="527"/>
      <c r="E691" s="527"/>
      <c r="F691" s="527"/>
      <c r="G691" s="527"/>
      <c r="H691" s="527"/>
      <c r="I691" s="527"/>
      <c r="J691" s="527"/>
      <c r="K691" s="527"/>
      <c r="L691" s="527"/>
      <c r="M691" s="527"/>
      <c r="N691" s="527"/>
      <c r="O691" s="527"/>
      <c r="P691" s="527"/>
    </row>
    <row r="692" spans="1:16">
      <c r="A692" s="634" t="s">
        <v>547</v>
      </c>
      <c r="B692" s="650"/>
      <c r="C692" s="650"/>
      <c r="D692" s="650"/>
      <c r="E692" s="650"/>
      <c r="F692" s="650"/>
      <c r="G692" s="650"/>
      <c r="H692" s="650"/>
      <c r="I692" s="650"/>
      <c r="J692" s="650"/>
      <c r="K692" s="527"/>
      <c r="L692" s="527"/>
      <c r="M692" s="527"/>
      <c r="N692" s="527"/>
      <c r="O692" s="527"/>
      <c r="P692" s="527"/>
    </row>
    <row r="693" spans="1:16">
      <c r="A693" s="723" t="s">
        <v>548</v>
      </c>
      <c r="B693" s="724"/>
      <c r="C693" s="724"/>
      <c r="D693" s="723" t="s">
        <v>549</v>
      </c>
      <c r="E693" s="724"/>
      <c r="F693" s="724"/>
      <c r="G693" s="724"/>
      <c r="H693" s="724"/>
      <c r="I693" s="650"/>
      <c r="J693" s="650"/>
      <c r="K693" s="527"/>
      <c r="L693" s="527"/>
      <c r="M693" s="527"/>
      <c r="N693" s="527"/>
      <c r="O693" s="527"/>
      <c r="P693" s="527"/>
    </row>
    <row r="694" spans="1:16">
      <c r="A694" s="725">
        <v>306</v>
      </c>
      <c r="B694" s="724"/>
      <c r="C694" s="726">
        <v>1</v>
      </c>
      <c r="D694" s="727">
        <v>175</v>
      </c>
      <c r="E694" s="727">
        <v>1398</v>
      </c>
      <c r="F694" s="728">
        <v>31.9</v>
      </c>
      <c r="G694" s="724"/>
      <c r="H694" s="724"/>
      <c r="I694" s="650"/>
      <c r="J694" s="650"/>
      <c r="K694" s="527"/>
      <c r="L694" s="527"/>
      <c r="M694" s="527"/>
      <c r="N694" s="527"/>
      <c r="O694" s="527"/>
      <c r="P694" s="527"/>
    </row>
    <row r="695" spans="1:16">
      <c r="A695" s="725">
        <v>296</v>
      </c>
      <c r="B695" s="724"/>
      <c r="C695" s="726">
        <v>1</v>
      </c>
      <c r="D695" s="727">
        <v>177</v>
      </c>
      <c r="E695" s="727">
        <v>1435</v>
      </c>
      <c r="F695" s="728">
        <v>35.5</v>
      </c>
      <c r="G695" s="724"/>
      <c r="H695" s="724"/>
      <c r="I695" s="650"/>
      <c r="J695" s="650"/>
      <c r="K695" s="527"/>
      <c r="L695" s="527"/>
      <c r="M695" s="527"/>
      <c r="N695" s="527"/>
      <c r="O695" s="527"/>
      <c r="P695" s="527"/>
    </row>
    <row r="696" spans="1:16">
      <c r="A696" s="725">
        <v>286</v>
      </c>
      <c r="B696" s="724"/>
      <c r="C696" s="726">
        <v>1</v>
      </c>
      <c r="D696" s="727">
        <v>180</v>
      </c>
      <c r="E696" s="727">
        <v>1451</v>
      </c>
      <c r="F696" s="728">
        <v>36.6</v>
      </c>
      <c r="G696" s="724"/>
      <c r="H696" s="724"/>
      <c r="I696" s="650"/>
      <c r="J696" s="650"/>
      <c r="K696" s="527"/>
      <c r="L696" s="527"/>
      <c r="M696" s="527"/>
      <c r="N696" s="527"/>
      <c r="O696" s="527"/>
      <c r="P696" s="527"/>
    </row>
    <row r="697" spans="1:16">
      <c r="A697" s="725">
        <v>295</v>
      </c>
      <c r="B697" s="724"/>
      <c r="C697" s="726">
        <v>1</v>
      </c>
      <c r="D697" s="727">
        <v>182</v>
      </c>
      <c r="E697" s="727">
        <v>1534</v>
      </c>
      <c r="F697" s="728">
        <v>39.200000000000003</v>
      </c>
      <c r="G697" s="724"/>
      <c r="H697" s="724"/>
      <c r="I697" s="650"/>
      <c r="J697" s="650"/>
      <c r="K697" s="527"/>
      <c r="L697" s="527"/>
      <c r="M697" s="527"/>
      <c r="N697" s="527"/>
      <c r="O697" s="527"/>
      <c r="P697" s="527"/>
    </row>
    <row r="698" spans="1:16">
      <c r="A698" s="725">
        <v>306</v>
      </c>
      <c r="B698" s="724"/>
      <c r="C698" s="726">
        <v>1</v>
      </c>
      <c r="D698" s="727">
        <v>184</v>
      </c>
      <c r="E698" s="727">
        <v>1583</v>
      </c>
      <c r="F698" s="728">
        <v>42.1</v>
      </c>
      <c r="G698" s="724"/>
      <c r="H698" s="724"/>
      <c r="I698" s="650"/>
      <c r="J698" s="650"/>
      <c r="K698" s="527"/>
      <c r="L698" s="527"/>
      <c r="M698" s="527"/>
      <c r="N698" s="527"/>
      <c r="O698" s="527"/>
      <c r="P698" s="527"/>
    </row>
    <row r="699" spans="1:16">
      <c r="A699" s="725">
        <v>318</v>
      </c>
      <c r="B699" s="724"/>
      <c r="C699" s="726">
        <v>1</v>
      </c>
      <c r="D699" s="727">
        <v>186</v>
      </c>
      <c r="E699" s="727">
        <v>1645</v>
      </c>
      <c r="F699" s="728">
        <v>45.4</v>
      </c>
      <c r="G699" s="724"/>
      <c r="H699" s="724"/>
      <c r="I699" s="650"/>
      <c r="J699" s="650"/>
      <c r="K699" s="527"/>
      <c r="L699" s="527"/>
      <c r="M699" s="527"/>
      <c r="N699" s="527"/>
      <c r="O699" s="527"/>
      <c r="P699" s="527"/>
    </row>
    <row r="700" spans="1:16">
      <c r="A700" s="725">
        <v>327</v>
      </c>
      <c r="B700" s="724"/>
      <c r="C700" s="726">
        <v>1</v>
      </c>
      <c r="D700" s="727">
        <v>188</v>
      </c>
      <c r="E700" s="727">
        <v>1745</v>
      </c>
      <c r="F700" s="728">
        <v>49.6</v>
      </c>
      <c r="G700" s="724"/>
      <c r="H700" s="724"/>
      <c r="I700" s="650"/>
      <c r="J700" s="650"/>
      <c r="K700" s="527"/>
      <c r="L700" s="527"/>
      <c r="M700" s="527"/>
      <c r="N700" s="527"/>
      <c r="O700" s="527"/>
      <c r="P700" s="527"/>
    </row>
    <row r="701" spans="1:16">
      <c r="A701" s="725">
        <v>331</v>
      </c>
      <c r="B701" s="724"/>
      <c r="C701" s="726">
        <v>1</v>
      </c>
      <c r="D701" s="727">
        <v>190</v>
      </c>
      <c r="E701" s="727">
        <v>1836</v>
      </c>
      <c r="F701" s="728">
        <v>54.5</v>
      </c>
      <c r="G701" s="724"/>
      <c r="H701" s="724"/>
      <c r="I701" s="650"/>
      <c r="J701" s="650"/>
      <c r="K701" s="527"/>
      <c r="L701" s="527"/>
      <c r="M701" s="527"/>
      <c r="N701" s="527"/>
      <c r="O701" s="527"/>
      <c r="P701" s="527"/>
    </row>
    <row r="702" spans="1:16">
      <c r="A702" s="725">
        <v>336</v>
      </c>
      <c r="B702" s="724"/>
      <c r="C702" s="726">
        <v>1</v>
      </c>
      <c r="D702" s="727">
        <v>192</v>
      </c>
      <c r="E702" s="727">
        <v>1824</v>
      </c>
      <c r="F702" s="728">
        <v>59.3</v>
      </c>
      <c r="G702" s="724"/>
      <c r="H702" s="724"/>
      <c r="I702" s="650"/>
      <c r="J702" s="650"/>
      <c r="K702" s="527"/>
      <c r="L702" s="527"/>
      <c r="M702" s="527"/>
      <c r="N702" s="527"/>
      <c r="O702" s="527"/>
      <c r="P702" s="527"/>
    </row>
    <row r="703" spans="1:16">
      <c r="A703" s="725">
        <v>356</v>
      </c>
      <c r="B703" s="724"/>
      <c r="C703" s="726">
        <v>1</v>
      </c>
      <c r="D703" s="727">
        <v>194</v>
      </c>
      <c r="E703" s="727">
        <v>1960</v>
      </c>
      <c r="F703" s="728">
        <v>64.8</v>
      </c>
      <c r="G703" s="724"/>
      <c r="H703" s="724"/>
      <c r="I703" s="527"/>
      <c r="J703" s="527"/>
      <c r="K703" s="527"/>
      <c r="L703" s="527"/>
      <c r="M703" s="527"/>
      <c r="N703" s="527"/>
      <c r="O703" s="527"/>
      <c r="P703" s="527"/>
    </row>
    <row r="704" spans="1:16">
      <c r="A704" s="527"/>
      <c r="B704" s="527"/>
      <c r="C704" s="527"/>
      <c r="D704" s="527"/>
      <c r="E704" s="527"/>
      <c r="F704" s="527"/>
      <c r="G704" s="527"/>
      <c r="H704" s="527"/>
      <c r="I704" s="527"/>
      <c r="J704" s="527"/>
      <c r="K704" s="527"/>
      <c r="L704" s="527"/>
      <c r="M704" s="527"/>
      <c r="N704" s="527"/>
      <c r="O704" s="527"/>
      <c r="P704" s="527"/>
    </row>
    <row r="705" spans="1:16" ht="17.25">
      <c r="A705" s="527"/>
      <c r="B705" s="56" t="s">
        <v>687</v>
      </c>
      <c r="C705" s="527"/>
      <c r="D705" s="527"/>
      <c r="E705" s="527"/>
      <c r="F705" s="527"/>
      <c r="G705" s="527"/>
      <c r="H705" s="527"/>
      <c r="I705" s="527"/>
      <c r="J705" s="527"/>
      <c r="K705" s="527"/>
      <c r="L705" s="527"/>
      <c r="M705" s="527"/>
      <c r="N705" s="527"/>
      <c r="O705" s="527"/>
      <c r="P705" s="527"/>
    </row>
    <row r="706" spans="1:16">
      <c r="A706" s="726">
        <v>1</v>
      </c>
      <c r="B706" s="724">
        <v>1</v>
      </c>
      <c r="C706" s="724">
        <v>1</v>
      </c>
      <c r="D706" s="724">
        <v>1</v>
      </c>
      <c r="E706" s="724">
        <v>1</v>
      </c>
      <c r="F706" s="724">
        <v>1</v>
      </c>
      <c r="G706" s="724">
        <v>1</v>
      </c>
      <c r="H706" s="724">
        <v>1</v>
      </c>
      <c r="I706" s="724">
        <v>1</v>
      </c>
      <c r="J706" s="732">
        <v>1</v>
      </c>
      <c r="K706" s="527"/>
      <c r="L706" s="527"/>
      <c r="M706" s="527"/>
      <c r="N706" s="527"/>
      <c r="O706" s="527"/>
      <c r="P706" s="527"/>
    </row>
    <row r="707" spans="1:16">
      <c r="A707" s="733">
        <v>175</v>
      </c>
      <c r="B707" s="727">
        <v>177</v>
      </c>
      <c r="C707" s="727">
        <v>180</v>
      </c>
      <c r="D707" s="727">
        <v>182</v>
      </c>
      <c r="E707" s="727">
        <v>184</v>
      </c>
      <c r="F707" s="727">
        <v>186</v>
      </c>
      <c r="G707" s="727">
        <v>188</v>
      </c>
      <c r="H707" s="727">
        <v>190</v>
      </c>
      <c r="I707" s="727">
        <v>192</v>
      </c>
      <c r="J707" s="728">
        <v>194</v>
      </c>
      <c r="K707" s="527"/>
      <c r="L707" s="527"/>
      <c r="M707" s="527"/>
      <c r="N707" s="527"/>
      <c r="O707" s="527"/>
      <c r="P707" s="527"/>
    </row>
    <row r="708" spans="1:16">
      <c r="A708" s="733">
        <v>1398</v>
      </c>
      <c r="B708" s="727">
        <v>1435</v>
      </c>
      <c r="C708" s="727">
        <v>1451</v>
      </c>
      <c r="D708" s="727">
        <v>1534</v>
      </c>
      <c r="E708" s="727">
        <v>1583</v>
      </c>
      <c r="F708" s="727">
        <v>1645</v>
      </c>
      <c r="G708" s="727">
        <v>1745</v>
      </c>
      <c r="H708" s="727">
        <v>1836</v>
      </c>
      <c r="I708" s="727">
        <v>1824</v>
      </c>
      <c r="J708" s="728">
        <v>1960</v>
      </c>
      <c r="K708" s="527"/>
      <c r="L708" s="527"/>
      <c r="M708" s="527"/>
      <c r="N708" s="527"/>
      <c r="O708" s="527"/>
      <c r="P708" s="527"/>
    </row>
    <row r="709" spans="1:16">
      <c r="A709" s="733">
        <v>31.9</v>
      </c>
      <c r="B709" s="727">
        <v>35.5</v>
      </c>
      <c r="C709" s="727">
        <v>36.6</v>
      </c>
      <c r="D709" s="727">
        <v>39.200000000000003</v>
      </c>
      <c r="E709" s="727">
        <v>42.1</v>
      </c>
      <c r="F709" s="727">
        <v>45.4</v>
      </c>
      <c r="G709" s="727">
        <v>49.6</v>
      </c>
      <c r="H709" s="727">
        <v>54.5</v>
      </c>
      <c r="I709" s="727">
        <v>59.3</v>
      </c>
      <c r="J709" s="728">
        <v>64.8</v>
      </c>
      <c r="K709" s="527"/>
      <c r="L709" s="527"/>
      <c r="M709" s="527"/>
      <c r="N709" s="527"/>
      <c r="O709" s="527"/>
      <c r="P709" s="527"/>
    </row>
    <row r="710" spans="1:16">
      <c r="A710" s="527"/>
      <c r="B710" s="527"/>
      <c r="C710" s="527"/>
      <c r="D710" s="527"/>
      <c r="E710" s="527"/>
      <c r="F710" s="527"/>
      <c r="G710" s="527"/>
      <c r="H710" s="527"/>
      <c r="I710" s="527"/>
      <c r="J710" s="527"/>
      <c r="K710" s="527"/>
      <c r="L710" s="527"/>
      <c r="M710" s="527"/>
      <c r="N710" s="527"/>
      <c r="O710" s="527"/>
      <c r="P710" s="527"/>
    </row>
    <row r="711" spans="1:16" ht="17.25">
      <c r="A711" s="598" t="s">
        <v>688</v>
      </c>
      <c r="B711" s="527"/>
      <c r="C711" s="527"/>
      <c r="D711" s="598" t="s">
        <v>689</v>
      </c>
      <c r="E711" s="527"/>
      <c r="F711" s="527"/>
      <c r="G711" s="527"/>
      <c r="H711" s="527"/>
      <c r="I711" s="527"/>
      <c r="J711" s="527"/>
      <c r="K711" s="527"/>
      <c r="L711" s="527"/>
      <c r="M711" s="527"/>
      <c r="N711" s="527"/>
      <c r="O711" s="527"/>
      <c r="P711" s="527"/>
    </row>
    <row r="712" spans="1:16">
      <c r="A712" s="725">
        <f t="array" ref="A712:A715">MMULT(A706:J709,A694:A703)</f>
        <v>3157</v>
      </c>
      <c r="B712" s="729"/>
      <c r="C712" s="726">
        <f t="array" ref="C712:F715">MMULT(A706:J709,C694:F703)</f>
        <v>10</v>
      </c>
      <c r="D712" s="724">
        <v>1848</v>
      </c>
      <c r="E712" s="724">
        <v>16411</v>
      </c>
      <c r="F712" s="732">
        <v>458.90000000000003</v>
      </c>
      <c r="G712" s="729"/>
      <c r="H712" s="527"/>
      <c r="I712" s="729"/>
      <c r="J712" s="729"/>
      <c r="K712" s="527"/>
      <c r="L712" s="527"/>
      <c r="M712" s="527"/>
      <c r="N712" s="527"/>
      <c r="O712" s="527"/>
      <c r="P712" s="527"/>
    </row>
    <row r="713" spans="1:16">
      <c r="A713" s="734">
        <v>584506</v>
      </c>
      <c r="B713" s="527"/>
      <c r="C713" s="733">
        <v>1848</v>
      </c>
      <c r="D713" s="727">
        <v>341874</v>
      </c>
      <c r="E713" s="727">
        <v>3043603</v>
      </c>
      <c r="F713" s="728">
        <v>85415.8</v>
      </c>
      <c r="G713" s="527"/>
      <c r="H713" s="527"/>
      <c r="I713" s="527"/>
      <c r="J713" s="527"/>
      <c r="K713" s="527"/>
      <c r="L713" s="527"/>
      <c r="M713" s="527"/>
      <c r="N713" s="527"/>
      <c r="O713" s="527"/>
      <c r="P713" s="527"/>
    </row>
    <row r="714" spans="1:16">
      <c r="A714" s="734">
        <v>5216527</v>
      </c>
      <c r="B714" s="527"/>
      <c r="C714" s="733">
        <v>16411</v>
      </c>
      <c r="D714" s="727">
        <v>3043603</v>
      </c>
      <c r="E714" s="727">
        <v>27268597</v>
      </c>
      <c r="F714" s="728">
        <v>771890.59999999986</v>
      </c>
      <c r="G714" s="527"/>
      <c r="H714" s="527"/>
      <c r="I714" s="527"/>
      <c r="J714" s="527"/>
      <c r="K714" s="527"/>
      <c r="L714" s="527"/>
      <c r="M714" s="527"/>
      <c r="N714" s="527"/>
      <c r="O714" s="527"/>
      <c r="P714" s="527"/>
    </row>
    <row r="715" spans="1:16">
      <c r="A715" s="734">
        <v>146873.1</v>
      </c>
      <c r="B715" s="527"/>
      <c r="C715" s="733">
        <v>458.90000000000003</v>
      </c>
      <c r="D715" s="727">
        <v>85415.8</v>
      </c>
      <c r="E715" s="727">
        <v>771890.59999999986</v>
      </c>
      <c r="F715" s="728">
        <v>22133.57</v>
      </c>
      <c r="G715" s="527"/>
      <c r="H715" s="527"/>
      <c r="I715" s="527"/>
      <c r="J715" s="527"/>
      <c r="K715" s="527"/>
      <c r="L715" s="527"/>
      <c r="M715" s="527"/>
      <c r="N715" s="527"/>
      <c r="O715" s="527"/>
      <c r="P715" s="527"/>
    </row>
    <row r="716" spans="1:16">
      <c r="A716" s="527"/>
      <c r="B716" s="527"/>
      <c r="C716" s="527"/>
      <c r="D716" s="527"/>
      <c r="E716" s="527"/>
      <c r="F716" s="527"/>
      <c r="G716" s="527"/>
      <c r="H716" s="527"/>
      <c r="I716" s="527"/>
      <c r="J716" s="527"/>
      <c r="K716" s="527"/>
      <c r="L716" s="527"/>
      <c r="M716" s="527"/>
      <c r="N716" s="527"/>
      <c r="O716" s="527"/>
      <c r="P716" s="527"/>
    </row>
    <row r="717" spans="1:16" ht="17.25">
      <c r="A717" s="527"/>
      <c r="B717" s="598" t="s">
        <v>690</v>
      </c>
      <c r="C717" s="527"/>
      <c r="D717" s="527"/>
      <c r="E717" s="527"/>
      <c r="F717" s="723" t="s">
        <v>550</v>
      </c>
      <c r="G717" s="527"/>
      <c r="H717" s="527"/>
      <c r="I717" s="527"/>
      <c r="J717" s="527"/>
      <c r="K717" s="527"/>
      <c r="L717" s="527"/>
      <c r="M717" s="527"/>
      <c r="N717" s="527"/>
      <c r="O717" s="527"/>
      <c r="P717" s="527"/>
    </row>
    <row r="718" spans="1:16">
      <c r="A718" s="735">
        <f t="array" ref="A718:D721">MINVERSE(C712:F715)</f>
        <v>1664.7623970085476</v>
      </c>
      <c r="B718" s="736">
        <v>-11.144893045231759</v>
      </c>
      <c r="C718" s="736">
        <v>0.12644413592857337</v>
      </c>
      <c r="D718" s="737">
        <v>4.0838170903878632</v>
      </c>
      <c r="E718" s="527"/>
      <c r="F718" s="734">
        <f t="array" ref="F718:F721">MMULT(A718:D721,A712:A715)</f>
        <v>800.15802106948104</v>
      </c>
      <c r="G718" s="527"/>
      <c r="H718" s="527"/>
      <c r="I718" s="527"/>
      <c r="J718" s="527"/>
      <c r="K718" s="527"/>
      <c r="L718" s="527"/>
      <c r="M718" s="527"/>
      <c r="N718" s="527"/>
      <c r="O718" s="527"/>
      <c r="P718" s="527"/>
    </row>
    <row r="719" spans="1:16">
      <c r="A719" s="738">
        <v>-11.144893045236314</v>
      </c>
      <c r="B719" s="739">
        <v>7.8889366363024446E-2</v>
      </c>
      <c r="C719" s="739">
        <v>-1.6397150745397196E-3</v>
      </c>
      <c r="D719" s="740">
        <v>-1.6189266720929713E-2</v>
      </c>
      <c r="E719" s="527"/>
      <c r="F719" s="734">
        <v>-4.505117098323808</v>
      </c>
      <c r="G719" s="527"/>
      <c r="H719" s="527"/>
      <c r="I719" s="527"/>
      <c r="J719" s="527"/>
      <c r="K719" s="527"/>
      <c r="L719" s="527"/>
      <c r="M719" s="527"/>
      <c r="N719" s="527"/>
      <c r="O719" s="527"/>
      <c r="P719" s="527"/>
    </row>
    <row r="720" spans="1:16">
      <c r="A720" s="738">
        <v>0.12644413592943518</v>
      </c>
      <c r="B720" s="739">
        <v>-1.6397150745451478E-3</v>
      </c>
      <c r="C720" s="739">
        <v>1.5951182957717631E-4</v>
      </c>
      <c r="D720" s="740">
        <v>-1.8566060944126383E-3</v>
      </c>
      <c r="E720" s="527"/>
      <c r="F720" s="734">
        <v>0.17311101060266765</v>
      </c>
      <c r="G720" s="527"/>
      <c r="H720" s="527"/>
      <c r="I720" s="527"/>
      <c r="J720" s="527"/>
      <c r="K720" s="527"/>
      <c r="L720" s="527"/>
      <c r="M720" s="527"/>
      <c r="N720" s="527"/>
      <c r="O720" s="527"/>
      <c r="P720" s="527"/>
    </row>
    <row r="721" spans="1:16">
      <c r="A721" s="738">
        <v>4.0838170903753976</v>
      </c>
      <c r="B721" s="739">
        <v>-1.618926672083492E-2</v>
      </c>
      <c r="C721" s="739">
        <v>-1.8566060944157172E-3</v>
      </c>
      <c r="D721" s="740">
        <v>4.2598292899989718E-2</v>
      </c>
      <c r="E721" s="527"/>
      <c r="F721" s="725">
        <v>1.3945334321351766</v>
      </c>
      <c r="G721" s="527"/>
      <c r="H721" s="527"/>
      <c r="I721" s="527"/>
      <c r="J721" s="527"/>
      <c r="K721" s="527"/>
      <c r="L721" s="527"/>
      <c r="M721" s="527"/>
      <c r="N721" s="527"/>
      <c r="O721" s="527"/>
      <c r="P721" s="527"/>
    </row>
    <row r="722" spans="1:16">
      <c r="A722" s="527"/>
      <c r="B722" s="527"/>
      <c r="C722" s="527"/>
      <c r="D722" s="527"/>
      <c r="E722" s="527"/>
      <c r="F722" s="527"/>
      <c r="G722" s="527"/>
      <c r="H722" s="527"/>
      <c r="I722" s="527"/>
      <c r="J722" s="527"/>
      <c r="K722" s="527"/>
      <c r="L722" s="527"/>
      <c r="M722" s="527"/>
      <c r="N722" s="527"/>
      <c r="O722" s="527"/>
      <c r="P722" s="527"/>
    </row>
    <row r="723" spans="1:16">
      <c r="A723" s="527"/>
      <c r="B723" s="527"/>
      <c r="C723" s="527"/>
      <c r="D723" s="527"/>
      <c r="E723" s="527"/>
      <c r="F723" s="527"/>
      <c r="G723" s="527"/>
      <c r="H723" s="527"/>
      <c r="I723" s="527"/>
      <c r="J723" s="527"/>
      <c r="K723" s="527"/>
      <c r="L723" s="527"/>
      <c r="M723" s="527"/>
      <c r="N723" s="527"/>
      <c r="O723" s="527"/>
      <c r="P723" s="527"/>
    </row>
    <row r="724" spans="1:16">
      <c r="A724" s="741" t="s">
        <v>587</v>
      </c>
      <c r="B724" s="650"/>
      <c r="C724" s="650"/>
      <c r="D724" s="650"/>
      <c r="E724" s="650"/>
      <c r="F724" s="650"/>
      <c r="G724" s="650"/>
      <c r="H724" s="650"/>
      <c r="I724" s="650"/>
      <c r="J724" s="650"/>
      <c r="K724" s="650"/>
      <c r="L724" s="650"/>
      <c r="M724" s="650"/>
      <c r="N724" s="650"/>
      <c r="O724" s="650"/>
      <c r="P724" s="527"/>
    </row>
    <row r="725" spans="1:16" ht="17.25">
      <c r="A725" s="742"/>
      <c r="B725" s="743" t="s">
        <v>885</v>
      </c>
      <c r="C725" s="744">
        <f>F718</f>
        <v>800.15802106948104</v>
      </c>
      <c r="D725" s="745">
        <f>F719</f>
        <v>-4.505117098323808</v>
      </c>
      <c r="E725" s="742" t="s">
        <v>588</v>
      </c>
      <c r="F725" s="746">
        <f>F720</f>
        <v>0.17311101060266765</v>
      </c>
      <c r="G725" s="742" t="s">
        <v>589</v>
      </c>
      <c r="H725" s="746">
        <f>F721</f>
        <v>1.3945334321351766</v>
      </c>
      <c r="I725" s="742" t="s">
        <v>590</v>
      </c>
      <c r="J725" s="650"/>
      <c r="K725" s="650"/>
      <c r="L725" s="650"/>
      <c r="M725" s="650"/>
      <c r="N725" s="650"/>
      <c r="O725" s="650"/>
      <c r="P725" s="527"/>
    </row>
    <row r="726" spans="1:16">
      <c r="A726" s="650"/>
      <c r="B726" s="677"/>
      <c r="C726" s="650"/>
      <c r="D726" s="677"/>
      <c r="E726" s="677"/>
      <c r="F726" s="677"/>
      <c r="G726" s="650"/>
      <c r="H726" s="650"/>
      <c r="I726" s="650"/>
      <c r="J726" s="650"/>
      <c r="K726" s="650"/>
      <c r="L726" s="650"/>
      <c r="M726" s="650"/>
      <c r="N726" s="650"/>
      <c r="O726" s="650"/>
      <c r="P726" s="527"/>
    </row>
    <row r="727" spans="1:16">
      <c r="A727" s="650"/>
      <c r="B727" s="767" t="s">
        <v>551</v>
      </c>
      <c r="C727" s="767" t="s">
        <v>552</v>
      </c>
      <c r="D727" s="768"/>
      <c r="E727" s="769"/>
      <c r="F727" s="769"/>
      <c r="G727" s="769"/>
      <c r="H727" s="769"/>
      <c r="I727" s="769"/>
      <c r="J727" s="769"/>
      <c r="K727" s="770"/>
      <c r="L727" s="677"/>
      <c r="M727" s="677"/>
      <c r="N727" s="677"/>
      <c r="O727" s="677"/>
      <c r="P727" s="527"/>
    </row>
    <row r="728" spans="1:16">
      <c r="A728" s="650"/>
      <c r="B728" s="771" t="s">
        <v>553</v>
      </c>
      <c r="C728" s="772" t="s">
        <v>554</v>
      </c>
      <c r="D728" s="768"/>
      <c r="E728" s="769"/>
      <c r="F728" s="769"/>
      <c r="G728" s="769"/>
      <c r="H728" s="769"/>
      <c r="I728" s="769"/>
      <c r="J728" s="769"/>
      <c r="K728" s="770"/>
      <c r="L728" s="677"/>
      <c r="M728" s="677"/>
      <c r="N728" s="677"/>
      <c r="O728" s="677"/>
      <c r="P728" s="527"/>
    </row>
    <row r="729" spans="1:16">
      <c r="A729" s="650"/>
      <c r="B729" s="527"/>
      <c r="C729" s="767"/>
      <c r="D729" s="768"/>
      <c r="E729" s="769"/>
      <c r="F729" s="769"/>
      <c r="G729" s="769"/>
      <c r="H729" s="769"/>
      <c r="I729" s="769"/>
      <c r="J729" s="769"/>
      <c r="K729" s="770"/>
      <c r="L729" s="730"/>
      <c r="M729" s="730"/>
      <c r="N729" s="730"/>
      <c r="O729" s="730"/>
      <c r="P729" s="527"/>
    </row>
    <row r="730" spans="1:16" ht="15.75" thickBot="1">
      <c r="A730" s="650"/>
      <c r="B730" s="773"/>
      <c r="C730" s="773"/>
      <c r="D730" s="774"/>
      <c r="E730" s="775"/>
      <c r="F730" s="775"/>
      <c r="G730" s="775"/>
      <c r="H730" s="775"/>
      <c r="I730" s="775"/>
      <c r="J730" s="775"/>
      <c r="K730" s="776"/>
      <c r="L730" s="650"/>
      <c r="M730" s="650"/>
      <c r="N730" s="650"/>
      <c r="O730" s="650"/>
      <c r="P730" s="527"/>
    </row>
    <row r="731" spans="1:16">
      <c r="A731" s="650"/>
      <c r="B731" s="777" t="s">
        <v>555</v>
      </c>
      <c r="C731" s="778" t="s">
        <v>556</v>
      </c>
      <c r="D731" s="1045" t="s">
        <v>557</v>
      </c>
      <c r="E731" s="1045" t="s">
        <v>3</v>
      </c>
      <c r="F731" s="1045" t="s">
        <v>558</v>
      </c>
      <c r="G731" s="1045" t="s">
        <v>559</v>
      </c>
      <c r="H731" s="1045" t="s">
        <v>886</v>
      </c>
      <c r="I731" s="1047" t="s">
        <v>887</v>
      </c>
      <c r="J731" s="779" t="s">
        <v>560</v>
      </c>
      <c r="K731" s="780" t="s">
        <v>561</v>
      </c>
      <c r="L731" s="650"/>
      <c r="M731" s="650"/>
      <c r="N731" s="650"/>
      <c r="O731" s="650"/>
      <c r="P731" s="527"/>
    </row>
    <row r="732" spans="1:16">
      <c r="A732" s="650"/>
      <c r="B732" s="781" t="s">
        <v>562</v>
      </c>
      <c r="C732" s="782"/>
      <c r="D732" s="1046"/>
      <c r="E732" s="1046"/>
      <c r="F732" s="1046"/>
      <c r="G732" s="1046"/>
      <c r="H732" s="1046"/>
      <c r="I732" s="1048"/>
      <c r="J732" s="782"/>
      <c r="K732" s="783" t="s">
        <v>563</v>
      </c>
      <c r="L732" s="650"/>
      <c r="M732" s="650"/>
      <c r="N732" s="650"/>
      <c r="O732" s="650"/>
      <c r="P732" s="527"/>
    </row>
    <row r="733" spans="1:16" ht="17.25">
      <c r="A733" s="650"/>
      <c r="B733" s="770" t="s">
        <v>564</v>
      </c>
      <c r="C733" s="769" t="s">
        <v>565</v>
      </c>
      <c r="D733" s="784">
        <v>1</v>
      </c>
      <c r="E733" s="784" t="s">
        <v>888</v>
      </c>
      <c r="F733" s="785">
        <v>0.23884</v>
      </c>
      <c r="G733" s="784" t="s">
        <v>889</v>
      </c>
      <c r="H733" s="784" t="s">
        <v>890</v>
      </c>
      <c r="I733" s="784" t="s">
        <v>891</v>
      </c>
      <c r="J733" s="786" t="s">
        <v>565</v>
      </c>
      <c r="K733" s="787" t="s">
        <v>566</v>
      </c>
      <c r="L733" s="650"/>
      <c r="M733" s="650"/>
      <c r="N733" s="650"/>
      <c r="O733" s="650"/>
      <c r="P733" s="527"/>
    </row>
    <row r="734" spans="1:16" ht="17.25">
      <c r="A734" s="650"/>
      <c r="B734" s="770" t="s">
        <v>567</v>
      </c>
      <c r="C734" s="769" t="s">
        <v>568</v>
      </c>
      <c r="D734" s="784" t="s">
        <v>569</v>
      </c>
      <c r="E734" s="784">
        <v>1</v>
      </c>
      <c r="F734" s="784">
        <v>252</v>
      </c>
      <c r="G734" s="784" t="s">
        <v>892</v>
      </c>
      <c r="H734" s="784" t="s">
        <v>893</v>
      </c>
      <c r="I734" s="784" t="s">
        <v>894</v>
      </c>
      <c r="J734" s="786" t="s">
        <v>568</v>
      </c>
      <c r="K734" s="787" t="s">
        <v>567</v>
      </c>
      <c r="L734" s="650"/>
      <c r="M734" s="650"/>
      <c r="N734" s="650"/>
      <c r="O734" s="650"/>
      <c r="P734" s="527"/>
    </row>
    <row r="735" spans="1:16" ht="17.25">
      <c r="A735" s="650"/>
      <c r="B735" s="770" t="s">
        <v>570</v>
      </c>
      <c r="C735" s="769" t="s">
        <v>571</v>
      </c>
      <c r="D735" s="784">
        <v>4.1867999999999999</v>
      </c>
      <c r="E735" s="784" t="s">
        <v>895</v>
      </c>
      <c r="F735" s="784">
        <v>1</v>
      </c>
      <c r="G735" s="784" t="s">
        <v>896</v>
      </c>
      <c r="H735" s="788" t="s">
        <v>897</v>
      </c>
      <c r="I735" s="784" t="s">
        <v>898</v>
      </c>
      <c r="J735" s="786" t="s">
        <v>571</v>
      </c>
      <c r="K735" s="787" t="s">
        <v>572</v>
      </c>
      <c r="L735" s="650"/>
      <c r="M735" s="650"/>
      <c r="N735" s="650"/>
      <c r="O735" s="650"/>
      <c r="P735" s="527"/>
    </row>
    <row r="736" spans="1:16" ht="17.25">
      <c r="A736" s="650"/>
      <c r="B736" s="770" t="s">
        <v>573</v>
      </c>
      <c r="C736" s="769" t="s">
        <v>574</v>
      </c>
      <c r="D736" s="784" t="s">
        <v>899</v>
      </c>
      <c r="E736" s="784">
        <v>3412</v>
      </c>
      <c r="F736" s="784" t="s">
        <v>575</v>
      </c>
      <c r="G736" s="784">
        <v>1</v>
      </c>
      <c r="H736" s="784" t="s">
        <v>900</v>
      </c>
      <c r="I736" s="784" t="s">
        <v>901</v>
      </c>
      <c r="J736" s="786" t="s">
        <v>574</v>
      </c>
      <c r="K736" s="787" t="s">
        <v>576</v>
      </c>
      <c r="L736" s="650"/>
      <c r="M736" s="650"/>
      <c r="N736" s="650"/>
      <c r="O736" s="650"/>
      <c r="P736" s="527"/>
    </row>
    <row r="737" spans="1:16" ht="17.25">
      <c r="A737" s="650"/>
      <c r="B737" s="529" t="s">
        <v>577</v>
      </c>
      <c r="C737" s="597" t="s">
        <v>578</v>
      </c>
      <c r="D737" s="784" t="s">
        <v>902</v>
      </c>
      <c r="E737" s="784" t="s">
        <v>903</v>
      </c>
      <c r="F737" s="788" t="s">
        <v>904</v>
      </c>
      <c r="G737" s="784" t="s">
        <v>579</v>
      </c>
      <c r="H737" s="784">
        <v>1</v>
      </c>
      <c r="I737" s="789">
        <v>7.0369000000000002</v>
      </c>
      <c r="J737" s="786" t="s">
        <v>580</v>
      </c>
      <c r="K737" s="787" t="s">
        <v>581</v>
      </c>
      <c r="L737" s="650"/>
      <c r="M737" s="650"/>
      <c r="N737" s="650"/>
      <c r="O737" s="650"/>
      <c r="P737" s="527"/>
    </row>
    <row r="738" spans="1:16" ht="17.25">
      <c r="A738" s="650"/>
      <c r="B738" s="790" t="s">
        <v>582</v>
      </c>
      <c r="C738" s="791" t="s">
        <v>583</v>
      </c>
      <c r="D738" s="792" t="s">
        <v>905</v>
      </c>
      <c r="E738" s="792" t="s">
        <v>906</v>
      </c>
      <c r="F738" s="792" t="s">
        <v>907</v>
      </c>
      <c r="G738" s="792" t="s">
        <v>584</v>
      </c>
      <c r="H738" s="792">
        <v>0.1421</v>
      </c>
      <c r="I738" s="792">
        <v>1</v>
      </c>
      <c r="J738" s="793" t="s">
        <v>585</v>
      </c>
      <c r="K738" s="794" t="s">
        <v>586</v>
      </c>
      <c r="L738" s="650"/>
      <c r="M738" s="650"/>
      <c r="N738" s="650"/>
      <c r="O738" s="650"/>
      <c r="P738" s="527"/>
    </row>
    <row r="739" spans="1:16" ht="15.75" thickBot="1">
      <c r="A739" s="650"/>
      <c r="B739" s="650"/>
      <c r="C739" s="650"/>
      <c r="D739" s="650"/>
      <c r="E739" s="650"/>
      <c r="F739" s="650"/>
      <c r="G739" s="650"/>
      <c r="H739" s="650"/>
      <c r="I739" s="650"/>
      <c r="J739" s="650"/>
      <c r="K739" s="650"/>
      <c r="L739" s="650"/>
      <c r="M739" s="650"/>
      <c r="N739" s="650"/>
      <c r="O739" s="650"/>
      <c r="P739" s="527"/>
    </row>
    <row r="740" spans="1:16" ht="15.75" thickBot="1">
      <c r="A740" s="1016" t="s">
        <v>592</v>
      </c>
      <c r="B740" s="1016"/>
      <c r="C740" s="1016"/>
      <c r="D740" s="1016"/>
      <c r="E740" s="1016"/>
      <c r="F740" s="1049" t="s">
        <v>591</v>
      </c>
      <c r="G740" s="1050"/>
      <c r="H740" s="1050"/>
      <c r="I740" s="1050"/>
      <c r="J740" s="747"/>
      <c r="K740" s="650"/>
      <c r="L740" s="650"/>
      <c r="M740" s="650"/>
      <c r="N740" s="650"/>
      <c r="O740" s="650"/>
      <c r="P740" s="527"/>
    </row>
    <row r="741" spans="1:16" ht="30" customHeight="1">
      <c r="A741" s="718" t="s">
        <v>298</v>
      </c>
      <c r="B741" s="717" t="s">
        <v>537</v>
      </c>
      <c r="C741" s="718" t="s">
        <v>143</v>
      </c>
      <c r="D741" s="717" t="s">
        <v>538</v>
      </c>
      <c r="E741" s="593" t="s">
        <v>539</v>
      </c>
      <c r="F741" s="795" t="s">
        <v>537</v>
      </c>
      <c r="G741" s="796" t="s">
        <v>593</v>
      </c>
      <c r="H741" s="797" t="s">
        <v>537</v>
      </c>
      <c r="I741" s="796" t="s">
        <v>593</v>
      </c>
      <c r="J741" s="650"/>
      <c r="K741" s="650"/>
      <c r="L741" s="650"/>
      <c r="M741" s="650"/>
      <c r="N741" s="650"/>
      <c r="O741" s="650"/>
      <c r="P741" s="527"/>
    </row>
    <row r="742" spans="1:16" ht="18" thickBot="1">
      <c r="A742" s="643"/>
      <c r="B742" s="716" t="s">
        <v>908</v>
      </c>
      <c r="C742" s="716" t="s">
        <v>540</v>
      </c>
      <c r="D742" s="716" t="s">
        <v>540</v>
      </c>
      <c r="E742" s="716" t="s">
        <v>540</v>
      </c>
      <c r="F742" s="798" t="s">
        <v>884</v>
      </c>
      <c r="G742" s="799" t="s">
        <v>884</v>
      </c>
      <c r="H742" s="799" t="s">
        <v>908</v>
      </c>
      <c r="I742" s="799" t="s">
        <v>908</v>
      </c>
      <c r="J742" s="650"/>
      <c r="K742" s="650"/>
      <c r="L742" s="650"/>
      <c r="M742" s="650"/>
      <c r="N742" s="650"/>
      <c r="O742" s="650"/>
      <c r="P742" s="527"/>
    </row>
    <row r="743" spans="1:16">
      <c r="A743" s="597">
        <v>2001</v>
      </c>
      <c r="B743" s="748">
        <f>B675*$I$737</f>
        <v>2153.2914000000001</v>
      </c>
      <c r="C743" s="597">
        <v>175</v>
      </c>
      <c r="D743" s="597">
        <v>1398</v>
      </c>
      <c r="E743" s="597">
        <v>31.9</v>
      </c>
      <c r="F743" s="749">
        <f>$C$725+$D$725*C743+$F$725*D743+$H$725*E743</f>
        <v>298.25733817045614</v>
      </c>
      <c r="G743" s="750">
        <f>F743-B675</f>
        <v>-7.742661829543863</v>
      </c>
      <c r="H743" s="750">
        <f>F743*$I$737</f>
        <v>2098.8070629716826</v>
      </c>
      <c r="I743" s="750">
        <f>H743-B743</f>
        <v>-54.484337028317441</v>
      </c>
      <c r="J743" s="731"/>
      <c r="K743" s="527"/>
      <c r="L743" s="527"/>
      <c r="M743" s="527"/>
      <c r="N743" s="527"/>
      <c r="O743" s="527"/>
      <c r="P743" s="527"/>
    </row>
    <row r="744" spans="1:16">
      <c r="A744" s="597">
        <v>2002</v>
      </c>
      <c r="B744" s="597">
        <f t="shared" ref="B744:B752" si="110">B676*$I$737</f>
        <v>2082.9223999999999</v>
      </c>
      <c r="C744" s="597">
        <v>177</v>
      </c>
      <c r="D744" s="597">
        <v>1435</v>
      </c>
      <c r="E744" s="597">
        <v>35.5</v>
      </c>
      <c r="F744" s="751">
        <f t="shared" ref="F744:F752" si="111">$C$725+$D$725*C744+$F$725*D744+$H$725*E744</f>
        <v>300.67253172179386</v>
      </c>
      <c r="G744" s="736">
        <f t="shared" ref="G744:G752" si="112">F744-B676</f>
        <v>4.6725317217938596</v>
      </c>
      <c r="H744" s="736">
        <f t="shared" ref="H744:H752" si="113">F744*$I$737</f>
        <v>2115.8025384730913</v>
      </c>
      <c r="I744" s="736">
        <f t="shared" ref="I744:I752" si="114">H744-B744</f>
        <v>32.880138473091392</v>
      </c>
      <c r="J744" s="731"/>
      <c r="K744" s="527"/>
      <c r="L744" s="527"/>
      <c r="M744" s="527"/>
      <c r="N744" s="527"/>
      <c r="O744" s="527"/>
      <c r="P744" s="527"/>
    </row>
    <row r="745" spans="1:16">
      <c r="A745" s="597">
        <v>2003</v>
      </c>
      <c r="B745" s="597">
        <f t="shared" si="110"/>
        <v>2012.5534</v>
      </c>
      <c r="C745" s="597">
        <v>180</v>
      </c>
      <c r="D745" s="597">
        <v>1451</v>
      </c>
      <c r="E745" s="597">
        <v>36.6</v>
      </c>
      <c r="F745" s="751">
        <f t="shared" si="111"/>
        <v>291.46094337181381</v>
      </c>
      <c r="G745" s="736">
        <f t="shared" si="112"/>
        <v>5.4609433718138121</v>
      </c>
      <c r="H745" s="736">
        <f t="shared" si="113"/>
        <v>2050.9815124131164</v>
      </c>
      <c r="I745" s="736">
        <f t="shared" si="114"/>
        <v>38.428112413116423</v>
      </c>
      <c r="J745" s="731"/>
      <c r="K745" s="527"/>
      <c r="L745" s="527"/>
      <c r="M745" s="527"/>
      <c r="N745" s="527"/>
      <c r="O745" s="527"/>
      <c r="P745" s="527"/>
    </row>
    <row r="746" spans="1:16">
      <c r="A746" s="597">
        <v>2004</v>
      </c>
      <c r="B746" s="597">
        <f t="shared" si="110"/>
        <v>2075.8854999999999</v>
      </c>
      <c r="C746" s="597">
        <v>182</v>
      </c>
      <c r="D746" s="597">
        <v>1534</v>
      </c>
      <c r="E746" s="597">
        <v>39.200000000000003</v>
      </c>
      <c r="F746" s="751">
        <f t="shared" si="111"/>
        <v>300.44470997873907</v>
      </c>
      <c r="G746" s="736">
        <f t="shared" si="112"/>
        <v>5.4447099787390698</v>
      </c>
      <c r="H746" s="736">
        <f t="shared" si="113"/>
        <v>2114.1993796493889</v>
      </c>
      <c r="I746" s="736">
        <f t="shared" si="114"/>
        <v>38.313879649389037</v>
      </c>
      <c r="J746" s="731"/>
      <c r="K746" s="527"/>
      <c r="L746" s="527"/>
      <c r="M746" s="527"/>
      <c r="N746" s="527"/>
      <c r="O746" s="527"/>
      <c r="P746" s="527"/>
    </row>
    <row r="747" spans="1:16">
      <c r="A747" s="597">
        <v>2005</v>
      </c>
      <c r="B747" s="597">
        <f t="shared" si="110"/>
        <v>2153.2914000000001</v>
      </c>
      <c r="C747" s="597">
        <v>184</v>
      </c>
      <c r="D747" s="597">
        <v>1583</v>
      </c>
      <c r="E747" s="597">
        <v>42.1</v>
      </c>
      <c r="F747" s="751">
        <f t="shared" si="111"/>
        <v>303.96106225481418</v>
      </c>
      <c r="G747" s="736">
        <f t="shared" si="112"/>
        <v>-2.0389377451858195</v>
      </c>
      <c r="H747" s="736">
        <f t="shared" si="113"/>
        <v>2138.9435989809022</v>
      </c>
      <c r="I747" s="736">
        <f t="shared" si="114"/>
        <v>-14.347801019097915</v>
      </c>
      <c r="J747" s="731"/>
      <c r="K747" s="527"/>
      <c r="L747" s="527"/>
      <c r="M747" s="527"/>
      <c r="N747" s="527"/>
      <c r="O747" s="527"/>
      <c r="P747" s="527"/>
    </row>
    <row r="748" spans="1:16">
      <c r="A748" s="597">
        <v>2006</v>
      </c>
      <c r="B748" s="597">
        <f t="shared" si="110"/>
        <v>2237.7341999999999</v>
      </c>
      <c r="C748" s="597">
        <v>186</v>
      </c>
      <c r="D748" s="597">
        <v>1645</v>
      </c>
      <c r="E748" s="597">
        <v>45.4</v>
      </c>
      <c r="F748" s="751">
        <f t="shared" si="111"/>
        <v>310.28567104157804</v>
      </c>
      <c r="G748" s="736">
        <f t="shared" si="112"/>
        <v>-7.7143289584219588</v>
      </c>
      <c r="H748" s="736">
        <f t="shared" si="113"/>
        <v>2183.4492385524804</v>
      </c>
      <c r="I748" s="736">
        <f t="shared" si="114"/>
        <v>-54.284961447519436</v>
      </c>
      <c r="J748" s="731"/>
      <c r="K748" s="527"/>
      <c r="L748" s="527"/>
      <c r="M748" s="527"/>
      <c r="N748" s="527"/>
      <c r="O748" s="527"/>
      <c r="P748" s="527"/>
    </row>
    <row r="749" spans="1:16">
      <c r="A749" s="597">
        <v>2007</v>
      </c>
      <c r="B749" s="597">
        <f t="shared" si="110"/>
        <v>2301.0663</v>
      </c>
      <c r="C749" s="597">
        <v>188</v>
      </c>
      <c r="D749" s="597">
        <v>1745</v>
      </c>
      <c r="E749" s="597">
        <v>49.6</v>
      </c>
      <c r="F749" s="751">
        <f t="shared" si="111"/>
        <v>324.44357832016493</v>
      </c>
      <c r="G749" s="736">
        <f t="shared" si="112"/>
        <v>-2.5564216798350685</v>
      </c>
      <c r="H749" s="736">
        <f t="shared" si="113"/>
        <v>2283.0770162811687</v>
      </c>
      <c r="I749" s="736">
        <f t="shared" si="114"/>
        <v>-17.989283718831302</v>
      </c>
      <c r="J749" s="731"/>
      <c r="K749" s="527"/>
      <c r="L749" s="527"/>
      <c r="M749" s="527"/>
      <c r="N749" s="527"/>
      <c r="O749" s="527"/>
      <c r="P749" s="527"/>
    </row>
    <row r="750" spans="1:16">
      <c r="A750" s="597">
        <v>2008</v>
      </c>
      <c r="B750" s="597">
        <f t="shared" si="110"/>
        <v>2329.2139000000002</v>
      </c>
      <c r="C750" s="597">
        <v>190</v>
      </c>
      <c r="D750" s="597">
        <v>1836</v>
      </c>
      <c r="E750" s="597">
        <v>54.5</v>
      </c>
      <c r="F750" s="751">
        <f t="shared" si="111"/>
        <v>338.01965990582244</v>
      </c>
      <c r="G750" s="736">
        <f t="shared" si="112"/>
        <v>7.0196599058224365</v>
      </c>
      <c r="H750" s="736">
        <f t="shared" si="113"/>
        <v>2378.6105447912819</v>
      </c>
      <c r="I750" s="736">
        <f t="shared" si="114"/>
        <v>49.396644791281688</v>
      </c>
      <c r="J750" s="731"/>
      <c r="K750" s="527"/>
      <c r="L750" s="527"/>
      <c r="M750" s="527"/>
      <c r="N750" s="527"/>
      <c r="O750" s="527"/>
      <c r="P750" s="527"/>
    </row>
    <row r="751" spans="1:16">
      <c r="A751" s="597">
        <v>2009</v>
      </c>
      <c r="B751" s="597">
        <f t="shared" si="110"/>
        <v>2364.3984</v>
      </c>
      <c r="C751" s="597">
        <v>192</v>
      </c>
      <c r="D751" s="597">
        <v>1824</v>
      </c>
      <c r="E751" s="597">
        <v>59.3</v>
      </c>
      <c r="F751" s="751">
        <f t="shared" si="111"/>
        <v>333.62585405619166</v>
      </c>
      <c r="G751" s="736">
        <f t="shared" si="112"/>
        <v>-2.3741459438083439</v>
      </c>
      <c r="H751" s="736">
        <f t="shared" si="113"/>
        <v>2347.6917724080149</v>
      </c>
      <c r="I751" s="736">
        <f t="shared" si="114"/>
        <v>-16.706627591985125</v>
      </c>
      <c r="J751" s="731"/>
      <c r="K751" s="527"/>
      <c r="L751" s="527"/>
      <c r="M751" s="527"/>
      <c r="N751" s="527"/>
      <c r="O751" s="527"/>
      <c r="P751" s="527"/>
    </row>
    <row r="752" spans="1:16" ht="15.75" thickBot="1">
      <c r="A752" s="716">
        <v>2010</v>
      </c>
      <c r="B752" s="716">
        <f t="shared" si="110"/>
        <v>2505.1363999999999</v>
      </c>
      <c r="C752" s="716">
        <v>194</v>
      </c>
      <c r="D752" s="716">
        <v>1960</v>
      </c>
      <c r="E752" s="716">
        <v>64.8</v>
      </c>
      <c r="F752" s="752">
        <f t="shared" si="111"/>
        <v>355.82865117825031</v>
      </c>
      <c r="G752" s="753">
        <f t="shared" si="112"/>
        <v>-0.1713488217496888</v>
      </c>
      <c r="H752" s="753">
        <f t="shared" si="113"/>
        <v>2503.9306354762298</v>
      </c>
      <c r="I752" s="753">
        <f t="shared" si="114"/>
        <v>-1.2057645237700854</v>
      </c>
      <c r="J752" s="731"/>
      <c r="K752" s="527"/>
      <c r="L752" s="527"/>
      <c r="M752" s="527"/>
      <c r="N752" s="527"/>
      <c r="O752" s="527"/>
      <c r="P752" s="527"/>
    </row>
    <row r="753" spans="1:16" ht="15.75" thickBot="1">
      <c r="A753" s="527"/>
      <c r="B753" s="527"/>
      <c r="C753" s="527"/>
      <c r="D753" s="527"/>
      <c r="E753" s="527"/>
      <c r="F753" s="527"/>
      <c r="G753" s="527"/>
      <c r="H753" s="527"/>
      <c r="I753" s="527"/>
      <c r="J753" s="527"/>
      <c r="K753" s="527"/>
      <c r="L753" s="527"/>
      <c r="M753" s="527"/>
      <c r="N753" s="527"/>
      <c r="O753" s="527"/>
      <c r="P753" s="527"/>
    </row>
    <row r="754" spans="1:16" ht="15.75" thickBot="1">
      <c r="A754" s="677"/>
      <c r="B754" s="1017" t="s">
        <v>541</v>
      </c>
      <c r="C754" s="1018"/>
      <c r="D754" s="1018"/>
      <c r="E754" s="1018"/>
      <c r="F754" s="1017" t="s">
        <v>532</v>
      </c>
      <c r="G754" s="1018"/>
      <c r="H754" s="1018"/>
      <c r="I754" s="1019"/>
      <c r="J754" s="1018" t="s">
        <v>542</v>
      </c>
      <c r="K754" s="1018"/>
      <c r="L754" s="1018"/>
      <c r="M754" s="1019"/>
      <c r="N754" s="527"/>
      <c r="O754" s="527"/>
      <c r="P754" s="527"/>
    </row>
    <row r="755" spans="1:16" ht="30">
      <c r="A755" s="1036" t="s">
        <v>298</v>
      </c>
      <c r="B755" s="800" t="s">
        <v>537</v>
      </c>
      <c r="C755" s="796" t="s">
        <v>143</v>
      </c>
      <c r="D755" s="797" t="s">
        <v>538</v>
      </c>
      <c r="E755" s="801" t="s">
        <v>539</v>
      </c>
      <c r="F755" s="797" t="s">
        <v>537</v>
      </c>
      <c r="G755" s="796" t="s">
        <v>143</v>
      </c>
      <c r="H755" s="797" t="s">
        <v>538</v>
      </c>
      <c r="I755" s="802" t="s">
        <v>539</v>
      </c>
      <c r="J755" s="800" t="s">
        <v>537</v>
      </c>
      <c r="K755" s="796" t="s">
        <v>143</v>
      </c>
      <c r="L755" s="797" t="s">
        <v>538</v>
      </c>
      <c r="M755" s="801" t="s">
        <v>539</v>
      </c>
      <c r="N755" s="527"/>
      <c r="O755" s="527"/>
      <c r="P755" s="527"/>
    </row>
    <row r="756" spans="1:16" ht="18" thickBot="1">
      <c r="A756" s="1037"/>
      <c r="B756" s="803" t="s">
        <v>884</v>
      </c>
      <c r="C756" s="799" t="s">
        <v>540</v>
      </c>
      <c r="D756" s="799" t="s">
        <v>540</v>
      </c>
      <c r="E756" s="804" t="s">
        <v>540</v>
      </c>
      <c r="F756" s="799" t="s">
        <v>884</v>
      </c>
      <c r="G756" s="799" t="s">
        <v>540</v>
      </c>
      <c r="H756" s="799" t="s">
        <v>540</v>
      </c>
      <c r="I756" s="799" t="s">
        <v>540</v>
      </c>
      <c r="J756" s="803" t="s">
        <v>884</v>
      </c>
      <c r="K756" s="799" t="s">
        <v>540</v>
      </c>
      <c r="L756" s="799" t="s">
        <v>540</v>
      </c>
      <c r="M756" s="804" t="s">
        <v>540</v>
      </c>
      <c r="N756" s="527"/>
      <c r="O756" s="527"/>
      <c r="P756" s="527"/>
    </row>
    <row r="757" spans="1:16">
      <c r="A757" s="754">
        <f t="shared" ref="A757:A766" si="115">A743</f>
        <v>2001</v>
      </c>
      <c r="B757" s="755">
        <f>H743</f>
        <v>2098.8070629716826</v>
      </c>
      <c r="C757" s="724">
        <f t="shared" ref="C757:E766" si="116">C743</f>
        <v>175</v>
      </c>
      <c r="D757" s="724">
        <f t="shared" si="116"/>
        <v>1398</v>
      </c>
      <c r="E757" s="756">
        <f t="shared" si="116"/>
        <v>31.9</v>
      </c>
      <c r="F757" s="757">
        <f>B757</f>
        <v>2098.8070629716826</v>
      </c>
      <c r="G757" s="758">
        <f t="shared" ref="G757:M757" si="117">C757</f>
        <v>175</v>
      </c>
      <c r="H757" s="758">
        <f t="shared" si="117"/>
        <v>1398</v>
      </c>
      <c r="I757" s="759">
        <f t="shared" si="117"/>
        <v>31.9</v>
      </c>
      <c r="J757" s="757">
        <f t="shared" si="117"/>
        <v>2098.8070629716826</v>
      </c>
      <c r="K757" s="758">
        <f t="shared" si="117"/>
        <v>175</v>
      </c>
      <c r="L757" s="758">
        <f t="shared" si="117"/>
        <v>1398</v>
      </c>
      <c r="M757" s="759">
        <f t="shared" si="117"/>
        <v>31.9</v>
      </c>
      <c r="N757" s="527"/>
      <c r="O757" s="527"/>
      <c r="P757" s="527"/>
    </row>
    <row r="758" spans="1:16">
      <c r="A758" s="760">
        <f t="shared" si="115"/>
        <v>2002</v>
      </c>
      <c r="B758" s="755">
        <f t="shared" ref="B758:B766" si="118">H744</f>
        <v>2115.8025384730913</v>
      </c>
      <c r="C758" s="724">
        <f t="shared" si="116"/>
        <v>177</v>
      </c>
      <c r="D758" s="724">
        <f t="shared" si="116"/>
        <v>1435</v>
      </c>
      <c r="E758" s="756">
        <f t="shared" si="116"/>
        <v>35.5</v>
      </c>
      <c r="F758" s="761">
        <f t="shared" ref="F758:F766" si="119">B758</f>
        <v>2115.8025384730913</v>
      </c>
      <c r="G758" s="724">
        <f t="shared" ref="G758:G766" si="120">C758</f>
        <v>177</v>
      </c>
      <c r="H758" s="724">
        <f t="shared" ref="H758:H766" si="121">D758</f>
        <v>1435</v>
      </c>
      <c r="I758" s="756">
        <f t="shared" ref="I758:I766" si="122">E758</f>
        <v>35.5</v>
      </c>
      <c r="J758" s="761">
        <f t="shared" ref="J758:J766" si="123">F758</f>
        <v>2115.8025384730913</v>
      </c>
      <c r="K758" s="724">
        <f t="shared" ref="K758:K766" si="124">G758</f>
        <v>177</v>
      </c>
      <c r="L758" s="724">
        <f t="shared" ref="L758:L766" si="125">H758</f>
        <v>1435</v>
      </c>
      <c r="M758" s="756">
        <f t="shared" ref="M758:M766" si="126">I758</f>
        <v>35.5</v>
      </c>
      <c r="N758" s="527"/>
      <c r="O758" s="527"/>
      <c r="P758" s="527"/>
    </row>
    <row r="759" spans="1:16">
      <c r="A759" s="760">
        <f t="shared" si="115"/>
        <v>2003</v>
      </c>
      <c r="B759" s="755">
        <f t="shared" si="118"/>
        <v>2050.9815124131164</v>
      </c>
      <c r="C759" s="724">
        <f t="shared" si="116"/>
        <v>180</v>
      </c>
      <c r="D759" s="724">
        <f t="shared" si="116"/>
        <v>1451</v>
      </c>
      <c r="E759" s="756">
        <f t="shared" si="116"/>
        <v>36.6</v>
      </c>
      <c r="F759" s="761">
        <f t="shared" si="119"/>
        <v>2050.9815124131164</v>
      </c>
      <c r="G759" s="724">
        <f t="shared" si="120"/>
        <v>180</v>
      </c>
      <c r="H759" s="724">
        <f t="shared" si="121"/>
        <v>1451</v>
      </c>
      <c r="I759" s="756">
        <f t="shared" si="122"/>
        <v>36.6</v>
      </c>
      <c r="J759" s="761">
        <f t="shared" si="123"/>
        <v>2050.9815124131164</v>
      </c>
      <c r="K759" s="724">
        <f t="shared" si="124"/>
        <v>180</v>
      </c>
      <c r="L759" s="724">
        <f t="shared" si="125"/>
        <v>1451</v>
      </c>
      <c r="M759" s="756">
        <f t="shared" si="126"/>
        <v>36.6</v>
      </c>
      <c r="N759" s="527"/>
      <c r="O759" s="527"/>
      <c r="P759" s="527"/>
    </row>
    <row r="760" spans="1:16">
      <c r="A760" s="760">
        <f t="shared" si="115"/>
        <v>2004</v>
      </c>
      <c r="B760" s="755">
        <f t="shared" si="118"/>
        <v>2114.1993796493889</v>
      </c>
      <c r="C760" s="724">
        <f t="shared" si="116"/>
        <v>182</v>
      </c>
      <c r="D760" s="724">
        <f t="shared" si="116"/>
        <v>1534</v>
      </c>
      <c r="E760" s="756">
        <f t="shared" si="116"/>
        <v>39.200000000000003</v>
      </c>
      <c r="F760" s="761">
        <f t="shared" si="119"/>
        <v>2114.1993796493889</v>
      </c>
      <c r="G760" s="724">
        <f t="shared" si="120"/>
        <v>182</v>
      </c>
      <c r="H760" s="724">
        <f t="shared" si="121"/>
        <v>1534</v>
      </c>
      <c r="I760" s="756">
        <f t="shared" si="122"/>
        <v>39.200000000000003</v>
      </c>
      <c r="J760" s="761">
        <f t="shared" si="123"/>
        <v>2114.1993796493889</v>
      </c>
      <c r="K760" s="724">
        <f t="shared" si="124"/>
        <v>182</v>
      </c>
      <c r="L760" s="724">
        <f t="shared" si="125"/>
        <v>1534</v>
      </c>
      <c r="M760" s="756">
        <f t="shared" si="126"/>
        <v>39.200000000000003</v>
      </c>
      <c r="N760" s="527"/>
      <c r="O760" s="527"/>
      <c r="P760" s="527"/>
    </row>
    <row r="761" spans="1:16">
      <c r="A761" s="760">
        <f t="shared" si="115"/>
        <v>2005</v>
      </c>
      <c r="B761" s="755">
        <f t="shared" si="118"/>
        <v>2138.9435989809022</v>
      </c>
      <c r="C761" s="724">
        <f t="shared" si="116"/>
        <v>184</v>
      </c>
      <c r="D761" s="724">
        <f t="shared" si="116"/>
        <v>1583</v>
      </c>
      <c r="E761" s="756">
        <f t="shared" si="116"/>
        <v>42.1</v>
      </c>
      <c r="F761" s="761">
        <f t="shared" si="119"/>
        <v>2138.9435989809022</v>
      </c>
      <c r="G761" s="724">
        <f t="shared" si="120"/>
        <v>184</v>
      </c>
      <c r="H761" s="724">
        <f t="shared" si="121"/>
        <v>1583</v>
      </c>
      <c r="I761" s="756">
        <f t="shared" si="122"/>
        <v>42.1</v>
      </c>
      <c r="J761" s="761">
        <f t="shared" si="123"/>
        <v>2138.9435989809022</v>
      </c>
      <c r="K761" s="724">
        <f t="shared" si="124"/>
        <v>184</v>
      </c>
      <c r="L761" s="724">
        <f t="shared" si="125"/>
        <v>1583</v>
      </c>
      <c r="M761" s="756">
        <f t="shared" si="126"/>
        <v>42.1</v>
      </c>
      <c r="N761" s="527"/>
      <c r="O761" s="527"/>
      <c r="P761" s="527"/>
    </row>
    <row r="762" spans="1:16">
      <c r="A762" s="760">
        <f t="shared" si="115"/>
        <v>2006</v>
      </c>
      <c r="B762" s="755">
        <f t="shared" si="118"/>
        <v>2183.4492385524804</v>
      </c>
      <c r="C762" s="724">
        <f t="shared" si="116"/>
        <v>186</v>
      </c>
      <c r="D762" s="724">
        <f t="shared" si="116"/>
        <v>1645</v>
      </c>
      <c r="E762" s="756">
        <f t="shared" si="116"/>
        <v>45.4</v>
      </c>
      <c r="F762" s="761">
        <f t="shared" si="119"/>
        <v>2183.4492385524804</v>
      </c>
      <c r="G762" s="724">
        <f t="shared" si="120"/>
        <v>186</v>
      </c>
      <c r="H762" s="724">
        <f t="shared" si="121"/>
        <v>1645</v>
      </c>
      <c r="I762" s="756">
        <f t="shared" si="122"/>
        <v>45.4</v>
      </c>
      <c r="J762" s="761">
        <f t="shared" si="123"/>
        <v>2183.4492385524804</v>
      </c>
      <c r="K762" s="724">
        <f t="shared" si="124"/>
        <v>186</v>
      </c>
      <c r="L762" s="724">
        <f t="shared" si="125"/>
        <v>1645</v>
      </c>
      <c r="M762" s="756">
        <f t="shared" si="126"/>
        <v>45.4</v>
      </c>
      <c r="N762" s="527"/>
      <c r="O762" s="527"/>
      <c r="P762" s="527"/>
    </row>
    <row r="763" spans="1:16">
      <c r="A763" s="760">
        <f t="shared" si="115"/>
        <v>2007</v>
      </c>
      <c r="B763" s="755">
        <f t="shared" si="118"/>
        <v>2283.0770162811687</v>
      </c>
      <c r="C763" s="724">
        <f t="shared" si="116"/>
        <v>188</v>
      </c>
      <c r="D763" s="724">
        <f t="shared" si="116"/>
        <v>1745</v>
      </c>
      <c r="E763" s="756">
        <f t="shared" si="116"/>
        <v>49.6</v>
      </c>
      <c r="F763" s="761">
        <f t="shared" si="119"/>
        <v>2283.0770162811687</v>
      </c>
      <c r="G763" s="724">
        <f t="shared" si="120"/>
        <v>188</v>
      </c>
      <c r="H763" s="724">
        <f t="shared" si="121"/>
        <v>1745</v>
      </c>
      <c r="I763" s="756">
        <f t="shared" si="122"/>
        <v>49.6</v>
      </c>
      <c r="J763" s="761">
        <f t="shared" si="123"/>
        <v>2283.0770162811687</v>
      </c>
      <c r="K763" s="724">
        <f t="shared" si="124"/>
        <v>188</v>
      </c>
      <c r="L763" s="724">
        <f t="shared" si="125"/>
        <v>1745</v>
      </c>
      <c r="M763" s="756">
        <f t="shared" si="126"/>
        <v>49.6</v>
      </c>
      <c r="N763" s="527"/>
      <c r="O763" s="527"/>
      <c r="P763" s="527"/>
    </row>
    <row r="764" spans="1:16">
      <c r="A764" s="760">
        <f t="shared" si="115"/>
        <v>2008</v>
      </c>
      <c r="B764" s="755">
        <f t="shared" si="118"/>
        <v>2378.6105447912819</v>
      </c>
      <c r="C764" s="724">
        <f t="shared" si="116"/>
        <v>190</v>
      </c>
      <c r="D764" s="724">
        <f t="shared" si="116"/>
        <v>1836</v>
      </c>
      <c r="E764" s="756">
        <f t="shared" si="116"/>
        <v>54.5</v>
      </c>
      <c r="F764" s="761">
        <f t="shared" si="119"/>
        <v>2378.6105447912819</v>
      </c>
      <c r="G764" s="724">
        <f t="shared" si="120"/>
        <v>190</v>
      </c>
      <c r="H764" s="724">
        <f t="shared" si="121"/>
        <v>1836</v>
      </c>
      <c r="I764" s="756">
        <f t="shared" si="122"/>
        <v>54.5</v>
      </c>
      <c r="J764" s="761">
        <f t="shared" si="123"/>
        <v>2378.6105447912819</v>
      </c>
      <c r="K764" s="724">
        <f t="shared" si="124"/>
        <v>190</v>
      </c>
      <c r="L764" s="724">
        <f t="shared" si="125"/>
        <v>1836</v>
      </c>
      <c r="M764" s="756">
        <f t="shared" si="126"/>
        <v>54.5</v>
      </c>
      <c r="N764" s="527"/>
      <c r="O764" s="527"/>
      <c r="P764" s="527"/>
    </row>
    <row r="765" spans="1:16">
      <c r="A765" s="760">
        <f t="shared" si="115"/>
        <v>2009</v>
      </c>
      <c r="B765" s="755">
        <f t="shared" si="118"/>
        <v>2347.6917724080149</v>
      </c>
      <c r="C765" s="724">
        <f t="shared" si="116"/>
        <v>192</v>
      </c>
      <c r="D765" s="724">
        <f t="shared" si="116"/>
        <v>1824</v>
      </c>
      <c r="E765" s="756">
        <f t="shared" si="116"/>
        <v>59.3</v>
      </c>
      <c r="F765" s="761">
        <f t="shared" si="119"/>
        <v>2347.6917724080149</v>
      </c>
      <c r="G765" s="724">
        <f t="shared" si="120"/>
        <v>192</v>
      </c>
      <c r="H765" s="724">
        <f t="shared" si="121"/>
        <v>1824</v>
      </c>
      <c r="I765" s="756">
        <f t="shared" si="122"/>
        <v>59.3</v>
      </c>
      <c r="J765" s="761">
        <f t="shared" si="123"/>
        <v>2347.6917724080149</v>
      </c>
      <c r="K765" s="724">
        <f t="shared" si="124"/>
        <v>192</v>
      </c>
      <c r="L765" s="724">
        <f t="shared" si="125"/>
        <v>1824</v>
      </c>
      <c r="M765" s="756">
        <f t="shared" si="126"/>
        <v>59.3</v>
      </c>
      <c r="N765" s="527"/>
      <c r="O765" s="527"/>
      <c r="P765" s="527"/>
    </row>
    <row r="766" spans="1:16">
      <c r="A766" s="760">
        <f t="shared" si="115"/>
        <v>2010</v>
      </c>
      <c r="B766" s="755">
        <f t="shared" si="118"/>
        <v>2503.9306354762298</v>
      </c>
      <c r="C766" s="724">
        <f t="shared" si="116"/>
        <v>194</v>
      </c>
      <c r="D766" s="724">
        <f t="shared" si="116"/>
        <v>1960</v>
      </c>
      <c r="E766" s="756">
        <f t="shared" si="116"/>
        <v>64.8</v>
      </c>
      <c r="F766" s="761">
        <f t="shared" si="119"/>
        <v>2503.9306354762298</v>
      </c>
      <c r="G766" s="724">
        <f t="shared" si="120"/>
        <v>194</v>
      </c>
      <c r="H766" s="724">
        <f t="shared" si="121"/>
        <v>1960</v>
      </c>
      <c r="I766" s="756">
        <f t="shared" si="122"/>
        <v>64.8</v>
      </c>
      <c r="J766" s="761">
        <f t="shared" si="123"/>
        <v>2503.9306354762298</v>
      </c>
      <c r="K766" s="724">
        <f t="shared" si="124"/>
        <v>194</v>
      </c>
      <c r="L766" s="724">
        <f t="shared" si="125"/>
        <v>1960</v>
      </c>
      <c r="M766" s="756">
        <f t="shared" si="126"/>
        <v>64.8</v>
      </c>
      <c r="N766" s="527"/>
      <c r="O766" s="527"/>
      <c r="P766" s="527"/>
    </row>
    <row r="767" spans="1:16">
      <c r="A767" s="760">
        <v>2011</v>
      </c>
      <c r="B767" s="755">
        <f>($C$725+$D$725*C767+$F$725*D767+$H$725*E767)*$I$737</f>
        <v>2534.9260737910304</v>
      </c>
      <c r="C767" s="675">
        <f>C766*(1+$D$688)</f>
        <v>196.13399999999999</v>
      </c>
      <c r="D767" s="675">
        <f>D766*(1+$D$689)</f>
        <v>2014.88</v>
      </c>
      <c r="E767" s="762">
        <f>E766*(1+$D$690)</f>
        <v>68.040000000000006</v>
      </c>
      <c r="F767" s="755">
        <f>($C$725+$D$725*G767+$F$725*H767+$H$725*I767)*$I$737</f>
        <v>2588.4419737735388</v>
      </c>
      <c r="G767" s="675">
        <f>G766*(1+$E$688)</f>
        <v>196.328</v>
      </c>
      <c r="H767" s="675">
        <f>H766*(1+$E$689)</f>
        <v>2048.1999999999998</v>
      </c>
      <c r="I767" s="762">
        <f>I766*(1+$E$690)</f>
        <v>69.983999999999995</v>
      </c>
      <c r="J767" s="755">
        <f>($C$725+$D$725*K767+$F$725*L767+$H$725*M767)*$I$737</f>
        <v>2497.5402739353158</v>
      </c>
      <c r="K767" s="675">
        <f>K766*(1+$F$688)</f>
        <v>196.13399999999999</v>
      </c>
      <c r="L767" s="675">
        <f>L766*(1+$F$689)</f>
        <v>1997.2399999999998</v>
      </c>
      <c r="M767" s="762">
        <f>M766*(1+$F$690)</f>
        <v>66.419999999999987</v>
      </c>
      <c r="N767" s="527"/>
      <c r="O767" s="527"/>
      <c r="P767" s="527"/>
    </row>
    <row r="768" spans="1:16">
      <c r="A768" s="760">
        <v>2012</v>
      </c>
      <c r="B768" s="755">
        <f t="shared" ref="B768:B776" si="127">($C$725+$D$725*C768+$F$725*D768+$H$725*E768)*$I$737</f>
        <v>2568.6389560049988</v>
      </c>
      <c r="C768" s="675">
        <f t="shared" ref="C768:C776" si="128">C767*(1+$D$688)</f>
        <v>198.29147399999997</v>
      </c>
      <c r="D768" s="675">
        <f t="shared" ref="D768:D776" si="129">D767*(1+$D$689)</f>
        <v>2071.29664</v>
      </c>
      <c r="E768" s="762">
        <f t="shared" ref="E768:E776" si="130">E767*(1+$D$690)</f>
        <v>71.442000000000007</v>
      </c>
      <c r="F768" s="755">
        <f t="shared" ref="F768:F776" si="131">($C$725+$D$725*G768+$F$725*H768+$H$725*I768)*$I$737</f>
        <v>2680.9723068496091</v>
      </c>
      <c r="G768" s="675">
        <f t="shared" ref="G768:G776" si="132">G767*(1+$E$688)</f>
        <v>198.68393600000002</v>
      </c>
      <c r="H768" s="675">
        <f t="shared" ref="H768:H776" si="133">H767*(1+$E$689)</f>
        <v>2140.3689999999997</v>
      </c>
      <c r="I768" s="762">
        <f t="shared" ref="I768:I776" si="134">I767*(1+$E$690)</f>
        <v>75.582719999999995</v>
      </c>
      <c r="J768" s="755">
        <f t="shared" ref="J768:J776" si="135">($C$725+$D$725*K768+$F$725*L768+$H$725*M768)*$I$737</f>
        <v>2491.6650972972343</v>
      </c>
      <c r="K768" s="675">
        <f t="shared" ref="K768:K776" si="136">K767*(1+$F$688)</f>
        <v>198.29147399999997</v>
      </c>
      <c r="L768" s="675">
        <f t="shared" ref="L768:L776" si="137">L767*(1+$F$689)</f>
        <v>2035.1875599999996</v>
      </c>
      <c r="M768" s="762">
        <f t="shared" ref="M768:M776" si="138">M767*(1+$F$690)</f>
        <v>68.080499999999986</v>
      </c>
      <c r="N768" s="527"/>
      <c r="O768" s="527"/>
      <c r="P768" s="527"/>
    </row>
    <row r="769" spans="1:16">
      <c r="A769" s="760">
        <v>2013</v>
      </c>
      <c r="B769" s="755">
        <f t="shared" si="127"/>
        <v>2605.1929957247644</v>
      </c>
      <c r="C769" s="675">
        <f t="shared" si="128"/>
        <v>200.47268021399995</v>
      </c>
      <c r="D769" s="675">
        <f t="shared" si="129"/>
        <v>2129.29294592</v>
      </c>
      <c r="E769" s="762">
        <f t="shared" si="130"/>
        <v>75.014100000000013</v>
      </c>
      <c r="F769" s="755">
        <f t="shared" si="131"/>
        <v>2782.0541556657959</v>
      </c>
      <c r="G769" s="675">
        <f t="shared" si="132"/>
        <v>201.06814323200001</v>
      </c>
      <c r="H769" s="675">
        <f t="shared" si="133"/>
        <v>2236.6856049999997</v>
      </c>
      <c r="I769" s="762">
        <f t="shared" si="134"/>
        <v>81.629337599999999</v>
      </c>
      <c r="J769" s="755">
        <f t="shared" si="135"/>
        <v>2486.3232320738398</v>
      </c>
      <c r="K769" s="675">
        <f t="shared" si="136"/>
        <v>200.47268021399995</v>
      </c>
      <c r="L769" s="675">
        <f t="shared" si="137"/>
        <v>2073.8561236399996</v>
      </c>
      <c r="M769" s="762">
        <f t="shared" si="138"/>
        <v>69.782512499999982</v>
      </c>
      <c r="N769" s="527"/>
      <c r="O769" s="527"/>
      <c r="P769" s="527"/>
    </row>
    <row r="770" spans="1:16">
      <c r="A770" s="760">
        <v>2014</v>
      </c>
      <c r="B770" s="755">
        <f t="shared" si="127"/>
        <v>2644.7172584093701</v>
      </c>
      <c r="C770" s="675">
        <f t="shared" si="128"/>
        <v>202.67787969635393</v>
      </c>
      <c r="D770" s="675">
        <f t="shared" si="129"/>
        <v>2188.9131484057602</v>
      </c>
      <c r="E770" s="762">
        <f t="shared" si="130"/>
        <v>78.764805000000024</v>
      </c>
      <c r="F770" s="755">
        <f t="shared" si="131"/>
        <v>2892.2557505716054</v>
      </c>
      <c r="G770" s="675">
        <f t="shared" si="132"/>
        <v>203.48096095078401</v>
      </c>
      <c r="H770" s="675">
        <f t="shared" si="133"/>
        <v>2337.3364572249993</v>
      </c>
      <c r="I770" s="762">
        <f t="shared" si="134"/>
        <v>88.159684608000006</v>
      </c>
      <c r="J770" s="755">
        <f t="shared" si="135"/>
        <v>2481.5332742831802</v>
      </c>
      <c r="K770" s="675">
        <f t="shared" si="136"/>
        <v>202.67787969635393</v>
      </c>
      <c r="L770" s="675">
        <f t="shared" si="137"/>
        <v>2113.2593899891594</v>
      </c>
      <c r="M770" s="762">
        <f t="shared" si="138"/>
        <v>71.527075312499974</v>
      </c>
      <c r="N770" s="527"/>
      <c r="O770" s="527"/>
      <c r="P770" s="527"/>
    </row>
    <row r="771" spans="1:16">
      <c r="A771" s="760">
        <v>2015</v>
      </c>
      <c r="B771" s="755">
        <f t="shared" si="127"/>
        <v>2687.3464001884558</v>
      </c>
      <c r="C771" s="675">
        <f t="shared" si="128"/>
        <v>204.90733637301381</v>
      </c>
      <c r="D771" s="675">
        <f t="shared" si="129"/>
        <v>2250.2027165611216</v>
      </c>
      <c r="E771" s="762">
        <f t="shared" si="130"/>
        <v>82.703045250000031</v>
      </c>
      <c r="F771" s="755">
        <f t="shared" si="131"/>
        <v>3012.1835540545389</v>
      </c>
      <c r="G771" s="675">
        <f t="shared" si="132"/>
        <v>205.92273248219342</v>
      </c>
      <c r="H771" s="675">
        <f t="shared" si="133"/>
        <v>2442.5165978001241</v>
      </c>
      <c r="I771" s="762">
        <f t="shared" si="134"/>
        <v>95.212459376640012</v>
      </c>
      <c r="J771" s="755">
        <f t="shared" si="135"/>
        <v>2477.3143005808515</v>
      </c>
      <c r="K771" s="675">
        <f t="shared" si="136"/>
        <v>204.90733637301381</v>
      </c>
      <c r="L771" s="675">
        <f t="shared" si="137"/>
        <v>2153.4113183989534</v>
      </c>
      <c r="M771" s="762">
        <f t="shared" si="138"/>
        <v>73.315252195312468</v>
      </c>
      <c r="N771" s="527"/>
      <c r="O771" s="527"/>
      <c r="P771" s="527"/>
    </row>
    <row r="772" spans="1:16">
      <c r="A772" s="760">
        <v>2016</v>
      </c>
      <c r="B772" s="755">
        <f t="shared" si="127"/>
        <v>2733.2209177559521</v>
      </c>
      <c r="C772" s="675">
        <f t="shared" si="128"/>
        <v>207.16131707311695</v>
      </c>
      <c r="D772" s="675">
        <f t="shared" si="129"/>
        <v>2313.2083926248329</v>
      </c>
      <c r="E772" s="762">
        <f t="shared" si="130"/>
        <v>86.838197512500031</v>
      </c>
      <c r="F772" s="755">
        <f t="shared" si="131"/>
        <v>3142.4849699936999</v>
      </c>
      <c r="G772" s="675">
        <f t="shared" si="132"/>
        <v>208.39380527197974</v>
      </c>
      <c r="H772" s="675">
        <f t="shared" si="133"/>
        <v>2552.4298447011297</v>
      </c>
      <c r="I772" s="762">
        <f t="shared" si="134"/>
        <v>102.82945612677122</v>
      </c>
      <c r="J772" s="755">
        <f t="shared" si="135"/>
        <v>2473.6858796480324</v>
      </c>
      <c r="K772" s="675">
        <f t="shared" si="136"/>
        <v>207.16131707311695</v>
      </c>
      <c r="L772" s="675">
        <f t="shared" si="137"/>
        <v>2194.3261334485333</v>
      </c>
      <c r="M772" s="762">
        <f t="shared" si="138"/>
        <v>75.148133500195271</v>
      </c>
      <c r="N772" s="527"/>
      <c r="O772" s="527"/>
      <c r="P772" s="527"/>
    </row>
    <row r="773" spans="1:16">
      <c r="A773" s="760">
        <v>2017</v>
      </c>
      <c r="B773" s="755">
        <f t="shared" si="127"/>
        <v>2782.4874098682035</v>
      </c>
      <c r="C773" s="675">
        <f t="shared" si="128"/>
        <v>209.44009156092122</v>
      </c>
      <c r="D773" s="675">
        <f t="shared" si="129"/>
        <v>2377.9782276183282</v>
      </c>
      <c r="E773" s="762">
        <f t="shared" si="130"/>
        <v>91.180107388125037</v>
      </c>
      <c r="F773" s="755">
        <f t="shared" si="131"/>
        <v>3283.8512536447811</v>
      </c>
      <c r="G773" s="675">
        <f t="shared" si="132"/>
        <v>210.89453093524349</v>
      </c>
      <c r="H773" s="675">
        <f t="shared" si="133"/>
        <v>2667.2891877126804</v>
      </c>
      <c r="I773" s="762">
        <f t="shared" si="134"/>
        <v>111.05581261691293</v>
      </c>
      <c r="J773" s="755">
        <f t="shared" si="135"/>
        <v>2470.6680838420971</v>
      </c>
      <c r="K773" s="675">
        <f t="shared" si="136"/>
        <v>209.44009156092122</v>
      </c>
      <c r="L773" s="675">
        <f t="shared" si="137"/>
        <v>2236.0183299840551</v>
      </c>
      <c r="M773" s="762">
        <f t="shared" si="138"/>
        <v>77.026836837700145</v>
      </c>
      <c r="N773" s="527"/>
      <c r="O773" s="527"/>
      <c r="P773" s="527"/>
    </row>
    <row r="774" spans="1:16">
      <c r="A774" s="760">
        <v>2018</v>
      </c>
      <c r="B774" s="755">
        <f t="shared" si="127"/>
        <v>2835.2988510011201</v>
      </c>
      <c r="C774" s="675">
        <f t="shared" si="128"/>
        <v>211.74393256809134</v>
      </c>
      <c r="D774" s="675">
        <f t="shared" si="129"/>
        <v>2444.5616179916415</v>
      </c>
      <c r="E774" s="762">
        <f t="shared" si="130"/>
        <v>95.739112757531288</v>
      </c>
      <c r="F774" s="755">
        <f t="shared" si="131"/>
        <v>3437.0206376910919</v>
      </c>
      <c r="G774" s="675">
        <f t="shared" si="132"/>
        <v>213.42526530646643</v>
      </c>
      <c r="H774" s="675">
        <f t="shared" si="133"/>
        <v>2787.3172011597508</v>
      </c>
      <c r="I774" s="762">
        <f t="shared" si="134"/>
        <v>119.94027762626597</v>
      </c>
      <c r="J774" s="755">
        <f t="shared" si="135"/>
        <v>2468.2815011158341</v>
      </c>
      <c r="K774" s="675">
        <f t="shared" si="136"/>
        <v>211.74393256809134</v>
      </c>
      <c r="L774" s="675">
        <f t="shared" si="137"/>
        <v>2278.502678253752</v>
      </c>
      <c r="M774" s="762">
        <f t="shared" si="138"/>
        <v>78.952507758642639</v>
      </c>
      <c r="N774" s="527"/>
      <c r="O774" s="527"/>
      <c r="P774" s="527"/>
    </row>
    <row r="775" spans="1:16">
      <c r="A775" s="760">
        <v>2019</v>
      </c>
      <c r="B775" s="755">
        <f t="shared" si="127"/>
        <v>2891.8148777480155</v>
      </c>
      <c r="C775" s="675">
        <f t="shared" si="128"/>
        <v>214.07311582634031</v>
      </c>
      <c r="D775" s="675">
        <f t="shared" si="129"/>
        <v>2513.0093432954077</v>
      </c>
      <c r="E775" s="762">
        <f t="shared" si="130"/>
        <v>100.52606839540786</v>
      </c>
      <c r="F775" s="755">
        <f t="shared" si="131"/>
        <v>3602.7816908893933</v>
      </c>
      <c r="G775" s="675">
        <f t="shared" si="132"/>
        <v>215.98636849014403</v>
      </c>
      <c r="H775" s="675">
        <f t="shared" si="133"/>
        <v>2912.7464752119395</v>
      </c>
      <c r="I775" s="762">
        <f t="shared" si="134"/>
        <v>129.53549983636725</v>
      </c>
      <c r="J775" s="755">
        <f t="shared" si="135"/>
        <v>2466.5472472114338</v>
      </c>
      <c r="K775" s="675">
        <f t="shared" si="136"/>
        <v>214.07311582634031</v>
      </c>
      <c r="L775" s="675">
        <f t="shared" si="137"/>
        <v>2321.794229140573</v>
      </c>
      <c r="M775" s="762">
        <f t="shared" si="138"/>
        <v>80.926320452608692</v>
      </c>
      <c r="N775" s="527"/>
      <c r="O775" s="527"/>
      <c r="P775" s="527"/>
    </row>
    <row r="776" spans="1:16" ht="15.75" thickBot="1">
      <c r="A776" s="763">
        <v>2020</v>
      </c>
      <c r="B776" s="764">
        <f t="shared" si="127"/>
        <v>2952.2020885681004</v>
      </c>
      <c r="C776" s="765">
        <f t="shared" si="128"/>
        <v>216.42792010043004</v>
      </c>
      <c r="D776" s="765">
        <f t="shared" si="129"/>
        <v>2583.3736049076792</v>
      </c>
      <c r="E776" s="766">
        <f t="shared" si="130"/>
        <v>105.55237181517826</v>
      </c>
      <c r="F776" s="764">
        <f t="shared" si="131"/>
        <v>3781.9769271275595</v>
      </c>
      <c r="G776" s="765">
        <f t="shared" si="132"/>
        <v>218.57820491202577</v>
      </c>
      <c r="H776" s="765">
        <f t="shared" si="133"/>
        <v>3043.8200665964764</v>
      </c>
      <c r="I776" s="766">
        <f t="shared" si="134"/>
        <v>139.89833982327664</v>
      </c>
      <c r="J776" s="764">
        <f t="shared" si="135"/>
        <v>2465.4869781355865</v>
      </c>
      <c r="K776" s="765">
        <f t="shared" si="136"/>
        <v>216.42792010043004</v>
      </c>
      <c r="L776" s="765">
        <f t="shared" si="137"/>
        <v>2365.9083194942436</v>
      </c>
      <c r="M776" s="766">
        <f t="shared" si="138"/>
        <v>82.949478463923896</v>
      </c>
      <c r="N776" s="527"/>
      <c r="O776" s="527"/>
      <c r="P776" s="527"/>
    </row>
    <row r="777" spans="1:16">
      <c r="A777" s="527"/>
      <c r="B777" s="527"/>
      <c r="C777" s="527"/>
      <c r="D777" s="527"/>
      <c r="E777" s="527"/>
      <c r="F777" s="527"/>
      <c r="G777" s="527"/>
      <c r="H777" s="527"/>
      <c r="I777" s="527"/>
      <c r="J777" s="527"/>
      <c r="K777" s="527"/>
      <c r="L777" s="527"/>
      <c r="M777" s="527"/>
      <c r="N777" s="527"/>
      <c r="O777" s="527"/>
      <c r="P777" s="527"/>
    </row>
    <row r="778" spans="1:16">
      <c r="A778" s="527"/>
      <c r="B778" s="527"/>
      <c r="C778" s="527"/>
      <c r="D778" s="527"/>
      <c r="E778" s="527"/>
      <c r="F778" s="527"/>
      <c r="G778" s="527"/>
      <c r="H778" s="527"/>
      <c r="I778" s="527"/>
      <c r="J778" s="527"/>
      <c r="K778" s="527"/>
      <c r="L778" s="527"/>
      <c r="M778" s="527"/>
      <c r="N778" s="527"/>
      <c r="O778" s="527"/>
      <c r="P778" s="527"/>
    </row>
    <row r="809" spans="1:10">
      <c r="A809" s="1040" t="s">
        <v>836</v>
      </c>
      <c r="B809" s="1041"/>
      <c r="C809" s="1041"/>
      <c r="D809" s="1041"/>
      <c r="E809" s="1041"/>
      <c r="F809" s="1041"/>
      <c r="G809" s="1041"/>
      <c r="H809" s="1041"/>
      <c r="I809" s="1041"/>
      <c r="J809" s="1041"/>
    </row>
    <row r="810" spans="1:10">
      <c r="A810" s="1041"/>
      <c r="B810" s="1041"/>
      <c r="C810" s="1041"/>
      <c r="D810" s="1041"/>
      <c r="E810" s="1041"/>
      <c r="F810" s="1041"/>
      <c r="G810" s="1041"/>
      <c r="H810" s="1041"/>
      <c r="I810" s="1041"/>
      <c r="J810" s="1041"/>
    </row>
    <row r="811" spans="1:10">
      <c r="A811" s="1041"/>
      <c r="B811" s="1041"/>
      <c r="C811" s="1041"/>
      <c r="D811" s="1041"/>
      <c r="E811" s="1041"/>
      <c r="F811" s="1041"/>
      <c r="G811" s="1041"/>
      <c r="H811" s="1041"/>
      <c r="I811" s="1041"/>
      <c r="J811" s="1041"/>
    </row>
    <row r="812" spans="1:10">
      <c r="A812" s="1041"/>
      <c r="B812" s="1041"/>
      <c r="C812" s="1041"/>
      <c r="D812" s="1041"/>
      <c r="E812" s="1041"/>
      <c r="F812" s="1041"/>
      <c r="G812" s="1041"/>
      <c r="H812" s="1041"/>
      <c r="I812" s="1041"/>
      <c r="J812" s="1041"/>
    </row>
    <row r="813" spans="1:10">
      <c r="A813" s="527"/>
      <c r="B813" s="527"/>
      <c r="C813" s="527"/>
      <c r="D813" s="527"/>
      <c r="E813" s="527"/>
    </row>
    <row r="814" spans="1:10" ht="15.75" thickBot="1">
      <c r="A814" s="585" t="s">
        <v>837</v>
      </c>
      <c r="B814" s="529"/>
      <c r="C814" s="529"/>
      <c r="D814" s="529"/>
      <c r="E814" s="529"/>
      <c r="F814" s="529"/>
      <c r="G814" s="64"/>
      <c r="H814" s="64"/>
      <c r="I814" s="64"/>
      <c r="J814" s="64"/>
    </row>
    <row r="815" spans="1:10">
      <c r="A815" s="1055" t="s">
        <v>298</v>
      </c>
      <c r="B815" s="718" t="s">
        <v>619</v>
      </c>
      <c r="C815" s="718" t="s">
        <v>32</v>
      </c>
      <c r="D815" s="1057" t="s">
        <v>620</v>
      </c>
      <c r="E815" s="718" t="s">
        <v>621</v>
      </c>
      <c r="F815" s="64"/>
      <c r="G815" s="64"/>
      <c r="H815" s="64"/>
      <c r="I815" s="64"/>
      <c r="J815" s="64"/>
    </row>
    <row r="816" spans="1:10" ht="18" thickBot="1">
      <c r="A816" s="1056"/>
      <c r="B816" s="643" t="s">
        <v>909</v>
      </c>
      <c r="C816" s="643" t="s">
        <v>909</v>
      </c>
      <c r="D816" s="1058"/>
      <c r="E816" s="809" t="s">
        <v>622</v>
      </c>
      <c r="F816" s="64"/>
      <c r="G816" s="64"/>
      <c r="H816" s="64"/>
      <c r="I816" s="64"/>
      <c r="J816" s="64"/>
    </row>
    <row r="817" spans="1:10">
      <c r="A817" s="810">
        <v>2000</v>
      </c>
      <c r="B817" s="639">
        <v>86743</v>
      </c>
      <c r="C817" s="639">
        <v>10256</v>
      </c>
      <c r="D817" s="639">
        <v>172334535</v>
      </c>
      <c r="E817" s="639">
        <v>8337</v>
      </c>
      <c r="F817" s="64"/>
      <c r="G817" s="64"/>
      <c r="H817" s="64"/>
      <c r="I817" s="64"/>
      <c r="J817" s="64"/>
    </row>
    <row r="818" spans="1:10">
      <c r="A818" s="810">
        <v>2001</v>
      </c>
      <c r="B818" s="639">
        <v>87975</v>
      </c>
      <c r="C818" s="639">
        <v>12548</v>
      </c>
      <c r="D818" s="639">
        <v>174978844</v>
      </c>
      <c r="E818" s="639">
        <v>8292</v>
      </c>
      <c r="F818" s="64"/>
      <c r="G818" s="64"/>
      <c r="H818" s="64"/>
      <c r="I818" s="64"/>
      <c r="J818" s="64"/>
    </row>
    <row r="819" spans="1:10">
      <c r="A819" s="810">
        <v>2002</v>
      </c>
      <c r="B819" s="639">
        <v>85373</v>
      </c>
      <c r="C819" s="639">
        <v>14803</v>
      </c>
      <c r="D819" s="639">
        <v>177451663</v>
      </c>
      <c r="E819" s="639">
        <v>8410</v>
      </c>
      <c r="F819" s="64"/>
      <c r="G819" s="64"/>
      <c r="H819" s="64"/>
      <c r="I819" s="64"/>
      <c r="J819" s="64"/>
    </row>
    <row r="820" spans="1:10">
      <c r="A820" s="810">
        <v>2003</v>
      </c>
      <c r="B820" s="639">
        <v>81069</v>
      </c>
      <c r="C820" s="639">
        <v>15512</v>
      </c>
      <c r="D820" s="639">
        <v>179824152</v>
      </c>
      <c r="E820" s="639">
        <v>8419</v>
      </c>
      <c r="F820" s="64"/>
      <c r="G820" s="64"/>
      <c r="H820" s="64"/>
      <c r="I820" s="64"/>
      <c r="J820" s="64"/>
    </row>
    <row r="821" spans="1:10">
      <c r="A821" s="810">
        <v>2004</v>
      </c>
      <c r="B821" s="639">
        <v>83648</v>
      </c>
      <c r="C821" s="639">
        <v>19061</v>
      </c>
      <c r="D821" s="639">
        <v>182099287</v>
      </c>
      <c r="E821" s="639">
        <v>8807</v>
      </c>
      <c r="F821" s="64"/>
      <c r="G821" s="64"/>
      <c r="H821" s="64"/>
      <c r="I821" s="64"/>
      <c r="J821" s="64"/>
    </row>
    <row r="822" spans="1:10">
      <c r="A822" s="810">
        <v>2005</v>
      </c>
      <c r="B822" s="639">
        <v>84553</v>
      </c>
      <c r="C822" s="639">
        <v>20526</v>
      </c>
      <c r="D822" s="639">
        <v>184280045</v>
      </c>
      <c r="E822" s="639">
        <v>8982</v>
      </c>
      <c r="F822" s="64"/>
      <c r="G822" s="64"/>
      <c r="H822" s="64"/>
      <c r="I822" s="64"/>
      <c r="J822" s="64"/>
    </row>
    <row r="823" spans="1:10">
      <c r="A823" s="810">
        <v>2006</v>
      </c>
      <c r="B823" s="639">
        <v>85545</v>
      </c>
      <c r="C823" s="639">
        <v>21716</v>
      </c>
      <c r="D823" s="639">
        <v>186369401</v>
      </c>
      <c r="E823" s="639">
        <v>9272</v>
      </c>
      <c r="F823" s="64"/>
      <c r="G823" s="64"/>
      <c r="H823" s="64"/>
      <c r="I823" s="64"/>
      <c r="J823" s="64"/>
    </row>
    <row r="824" spans="1:10">
      <c r="A824" s="810">
        <v>2007</v>
      </c>
      <c r="B824" s="639">
        <v>89239</v>
      </c>
      <c r="C824" s="639">
        <v>22165</v>
      </c>
      <c r="D824" s="639">
        <v>188370332</v>
      </c>
      <c r="E824" s="639">
        <v>9723</v>
      </c>
      <c r="F824" s="64"/>
      <c r="G824" s="64"/>
      <c r="H824" s="64"/>
      <c r="I824" s="64"/>
      <c r="J824" s="64"/>
    </row>
    <row r="825" spans="1:10">
      <c r="A825" s="810">
        <v>2008</v>
      </c>
      <c r="B825" s="639">
        <v>92410</v>
      </c>
      <c r="C825" s="639">
        <v>25934</v>
      </c>
      <c r="D825" s="639">
        <v>190285812</v>
      </c>
      <c r="E825" s="639">
        <v>10077</v>
      </c>
      <c r="F825" s="64"/>
      <c r="G825" s="64"/>
      <c r="H825" s="64"/>
      <c r="I825" s="64"/>
      <c r="J825" s="64"/>
    </row>
    <row r="826" spans="1:10">
      <c r="A826" s="810">
        <v>2009</v>
      </c>
      <c r="B826" s="639">
        <v>92559</v>
      </c>
      <c r="C826" s="639">
        <v>21145</v>
      </c>
      <c r="D826" s="639">
        <v>192118819</v>
      </c>
      <c r="E826" s="639">
        <v>10078</v>
      </c>
      <c r="F826" s="64"/>
      <c r="G826" s="64"/>
      <c r="H826" s="64"/>
      <c r="I826" s="64"/>
      <c r="J826" s="64"/>
    </row>
    <row r="827" spans="1:10" ht="15.75" thickBot="1">
      <c r="A827" s="811">
        <v>2010</v>
      </c>
      <c r="B827" s="643">
        <v>100992</v>
      </c>
      <c r="C827" s="643">
        <v>27716</v>
      </c>
      <c r="D827" s="643">
        <v>193872328</v>
      </c>
      <c r="E827" s="643">
        <v>10607</v>
      </c>
      <c r="F827" s="64"/>
      <c r="G827" s="64"/>
      <c r="H827" s="64"/>
      <c r="I827" s="64"/>
      <c r="J827" s="64"/>
    </row>
    <row r="828" spans="1:10">
      <c r="A828" s="527"/>
      <c r="B828" s="527"/>
      <c r="C828" s="527"/>
      <c r="D828" s="527"/>
      <c r="E828" s="527"/>
    </row>
    <row r="829" spans="1:10">
      <c r="A829" s="634" t="s">
        <v>623</v>
      </c>
      <c r="B829" s="634"/>
      <c r="C829" s="634"/>
      <c r="D829" s="634"/>
      <c r="E829" s="724">
        <f>I737</f>
        <v>7.0369000000000002</v>
      </c>
    </row>
    <row r="830" spans="1:10">
      <c r="A830" s="723"/>
      <c r="B830" s="724"/>
      <c r="C830" s="724"/>
      <c r="D830" s="723"/>
      <c r="E830" s="527"/>
    </row>
    <row r="831" spans="1:10">
      <c r="A831" s="634" t="s">
        <v>547</v>
      </c>
      <c r="B831" s="650"/>
      <c r="C831" s="650"/>
      <c r="D831" s="650"/>
      <c r="E831" s="650"/>
      <c r="F831" s="188"/>
      <c r="G831" s="188"/>
      <c r="H831" s="188"/>
      <c r="I831" s="188"/>
      <c r="J831" s="188"/>
    </row>
    <row r="832" spans="1:10">
      <c r="A832" s="723" t="s">
        <v>626</v>
      </c>
      <c r="B832" s="724"/>
      <c r="C832" s="724"/>
      <c r="D832" s="723" t="s">
        <v>625</v>
      </c>
      <c r="E832" s="724"/>
      <c r="F832" s="191"/>
      <c r="G832" s="191"/>
      <c r="H832" s="191"/>
      <c r="I832" s="188"/>
      <c r="J832" s="188"/>
    </row>
    <row r="833" spans="1:13">
      <c r="A833" s="725">
        <f>LOG(((B817+C817)*$E$829*10^3)/D817,10)</f>
        <v>0.59777631971366085</v>
      </c>
      <c r="B833" s="724"/>
      <c r="C833" s="726">
        <v>1</v>
      </c>
      <c r="D833" s="728">
        <f>E817*10^(-3)</f>
        <v>8.3369999999999997</v>
      </c>
      <c r="E833" s="727"/>
      <c r="F833" s="192"/>
      <c r="G833" s="191"/>
      <c r="H833" s="191"/>
      <c r="I833" s="188"/>
      <c r="J833" s="188"/>
    </row>
    <row r="834" spans="1:13">
      <c r="A834" s="725">
        <f t="shared" ref="A834:A843" si="139">LOG(((B818+C818)*$E$829*10^3)/D818,10)</f>
        <v>0.6066612775278688</v>
      </c>
      <c r="B834" s="724"/>
      <c r="C834" s="726">
        <v>1</v>
      </c>
      <c r="D834" s="728">
        <f t="shared" ref="D834:D843" si="140">E818*10^(-3)</f>
        <v>8.2919999999999998</v>
      </c>
      <c r="E834" s="727"/>
      <c r="F834" s="192"/>
      <c r="G834" s="191"/>
      <c r="H834" s="191"/>
      <c r="I834" s="188"/>
      <c r="J834" s="188"/>
    </row>
    <row r="835" spans="1:13">
      <c r="A835" s="725">
        <f t="shared" si="139"/>
        <v>0.59906499211678632</v>
      </c>
      <c r="B835" s="724"/>
      <c r="C835" s="726">
        <v>1</v>
      </c>
      <c r="D835" s="728">
        <f t="shared" si="140"/>
        <v>8.41</v>
      </c>
      <c r="E835" s="727"/>
      <c r="F835" s="192"/>
      <c r="G835" s="191"/>
      <c r="H835" s="191"/>
      <c r="I835" s="188"/>
      <c r="J835" s="188"/>
    </row>
    <row r="836" spans="1:13">
      <c r="A836" s="725">
        <f t="shared" si="139"/>
        <v>0.57742505620471274</v>
      </c>
      <c r="B836" s="724"/>
      <c r="C836" s="726">
        <v>1</v>
      </c>
      <c r="D836" s="728">
        <f t="shared" si="140"/>
        <v>8.4190000000000005</v>
      </c>
      <c r="E836" s="727"/>
      <c r="F836" s="192"/>
      <c r="G836" s="191"/>
      <c r="H836" s="191"/>
      <c r="I836" s="188"/>
      <c r="J836" s="188"/>
    </row>
    <row r="837" spans="1:13">
      <c r="A837" s="725">
        <f t="shared" si="139"/>
        <v>0.59868163489889825</v>
      </c>
      <c r="B837" s="724"/>
      <c r="C837" s="726">
        <v>1</v>
      </c>
      <c r="D837" s="728">
        <f t="shared" si="140"/>
        <v>8.8070000000000004</v>
      </c>
      <c r="E837" s="727"/>
      <c r="F837" s="192"/>
      <c r="G837" s="191"/>
      <c r="H837" s="191"/>
      <c r="I837" s="188"/>
      <c r="J837" s="188"/>
    </row>
    <row r="838" spans="1:13">
      <c r="A838" s="725">
        <f t="shared" si="139"/>
        <v>0.60341900087071565</v>
      </c>
      <c r="B838" s="724"/>
      <c r="C838" s="726">
        <v>1</v>
      </c>
      <c r="D838" s="728">
        <f t="shared" si="140"/>
        <v>8.9819999999999993</v>
      </c>
      <c r="E838" s="727"/>
      <c r="F838" s="192"/>
      <c r="G838" s="191"/>
      <c r="H838" s="191"/>
      <c r="I838" s="188"/>
      <c r="J838" s="188"/>
    </row>
    <row r="839" spans="1:13">
      <c r="A839" s="725">
        <f t="shared" si="139"/>
        <v>0.60744861162292185</v>
      </c>
      <c r="B839" s="724"/>
      <c r="C839" s="726">
        <v>1</v>
      </c>
      <c r="D839" s="728">
        <f t="shared" si="140"/>
        <v>9.2720000000000002</v>
      </c>
      <c r="E839" s="727"/>
      <c r="F839" s="192"/>
      <c r="G839" s="191"/>
      <c r="H839" s="191"/>
      <c r="I839" s="188"/>
      <c r="J839" s="188"/>
    </row>
    <row r="840" spans="1:13">
      <c r="A840" s="725">
        <f t="shared" si="139"/>
        <v>0.61926966079598866</v>
      </c>
      <c r="B840" s="724"/>
      <c r="C840" s="726">
        <v>1</v>
      </c>
      <c r="D840" s="728">
        <f t="shared" si="140"/>
        <v>9.7230000000000008</v>
      </c>
      <c r="E840" s="727"/>
      <c r="F840" s="192"/>
      <c r="G840" s="191"/>
      <c r="H840" s="191"/>
      <c r="I840" s="188"/>
      <c r="J840" s="188"/>
    </row>
    <row r="841" spans="1:13">
      <c r="A841" s="725">
        <f t="shared" si="139"/>
        <v>0.64112121580458836</v>
      </c>
      <c r="B841" s="724"/>
      <c r="C841" s="726">
        <v>1</v>
      </c>
      <c r="D841" s="728">
        <f t="shared" si="140"/>
        <v>10.077</v>
      </c>
      <c r="E841" s="727"/>
      <c r="F841" s="192"/>
      <c r="G841" s="191"/>
      <c r="H841" s="191"/>
      <c r="I841" s="188"/>
      <c r="J841" s="188"/>
    </row>
    <row r="842" spans="1:13">
      <c r="A842" s="725">
        <f t="shared" si="139"/>
        <v>0.61958721416280316</v>
      </c>
      <c r="B842" s="724"/>
      <c r="C842" s="726">
        <v>1</v>
      </c>
      <c r="D842" s="728">
        <f t="shared" si="140"/>
        <v>10.077999999999999</v>
      </c>
      <c r="E842" s="727"/>
      <c r="F842" s="192"/>
      <c r="G842" s="191"/>
      <c r="H842" s="191"/>
    </row>
    <row r="843" spans="1:13">
      <c r="A843" s="725">
        <f t="shared" si="139"/>
        <v>0.66947109593445675</v>
      </c>
      <c r="B843" s="527"/>
      <c r="C843" s="726">
        <v>1</v>
      </c>
      <c r="D843" s="728">
        <f t="shared" si="140"/>
        <v>10.607000000000001</v>
      </c>
      <c r="E843" s="543"/>
      <c r="F843" s="192"/>
      <c r="G843" s="95"/>
    </row>
    <row r="844" spans="1:13">
      <c r="A844" s="527"/>
      <c r="B844" s="527"/>
      <c r="C844" s="527"/>
      <c r="D844" s="527"/>
      <c r="E844" s="543"/>
      <c r="F844" s="95"/>
      <c r="G844" s="95"/>
    </row>
    <row r="845" spans="1:13">
      <c r="A845" s="527"/>
      <c r="B845" s="527"/>
      <c r="C845" s="527"/>
      <c r="D845" s="527"/>
      <c r="E845" s="527"/>
      <c r="F845" s="527"/>
      <c r="G845" s="527"/>
      <c r="H845" s="527"/>
      <c r="I845" s="527"/>
      <c r="J845" s="527"/>
      <c r="K845" s="527"/>
      <c r="L845" s="527"/>
      <c r="M845" s="527"/>
    </row>
    <row r="846" spans="1:13" ht="17.25">
      <c r="A846" s="527"/>
      <c r="B846" s="56" t="s">
        <v>687</v>
      </c>
      <c r="C846" s="527"/>
      <c r="D846" s="527"/>
      <c r="E846" s="527"/>
      <c r="F846" s="527"/>
      <c r="G846" s="527"/>
      <c r="H846" s="527"/>
      <c r="I846" s="527"/>
      <c r="J846" s="527"/>
      <c r="K846" s="527"/>
      <c r="L846" s="527"/>
      <c r="M846" s="527"/>
    </row>
    <row r="847" spans="1:13">
      <c r="A847" s="726">
        <v>1</v>
      </c>
      <c r="B847" s="724">
        <v>1</v>
      </c>
      <c r="C847" s="724">
        <v>1</v>
      </c>
      <c r="D847" s="724">
        <v>1</v>
      </c>
      <c r="E847" s="724">
        <v>1</v>
      </c>
      <c r="F847" s="724">
        <v>1</v>
      </c>
      <c r="G847" s="724">
        <v>1</v>
      </c>
      <c r="H847" s="724">
        <v>1</v>
      </c>
      <c r="I847" s="724">
        <v>1</v>
      </c>
      <c r="J847" s="724">
        <v>1</v>
      </c>
      <c r="K847" s="812">
        <v>1</v>
      </c>
      <c r="L847" s="527"/>
      <c r="M847" s="527"/>
    </row>
    <row r="848" spans="1:13">
      <c r="A848" s="733">
        <v>8337</v>
      </c>
      <c r="B848" s="727">
        <v>8292</v>
      </c>
      <c r="C848" s="727">
        <v>8410</v>
      </c>
      <c r="D848" s="727">
        <v>8419</v>
      </c>
      <c r="E848" s="727">
        <v>8807</v>
      </c>
      <c r="F848" s="727">
        <v>8982</v>
      </c>
      <c r="G848" s="727">
        <v>9272</v>
      </c>
      <c r="H848" s="727">
        <v>9723</v>
      </c>
      <c r="I848" s="727">
        <v>10077</v>
      </c>
      <c r="J848" s="727">
        <v>10078</v>
      </c>
      <c r="K848" s="812">
        <v>10607</v>
      </c>
      <c r="L848" s="527"/>
      <c r="M848" s="527"/>
    </row>
    <row r="849" spans="1:13">
      <c r="A849" s="727"/>
      <c r="B849" s="727"/>
      <c r="C849" s="727"/>
      <c r="D849" s="727"/>
      <c r="E849" s="727"/>
      <c r="F849" s="727"/>
      <c r="G849" s="727"/>
      <c r="H849" s="727"/>
      <c r="I849" s="727"/>
      <c r="J849" s="727"/>
      <c r="K849" s="543"/>
      <c r="L849" s="527"/>
      <c r="M849" s="527"/>
    </row>
    <row r="850" spans="1:13">
      <c r="A850" s="727"/>
      <c r="B850" s="727"/>
      <c r="C850" s="727"/>
      <c r="D850" s="727"/>
      <c r="E850" s="727"/>
      <c r="F850" s="727"/>
      <c r="G850" s="727"/>
      <c r="H850" s="727"/>
      <c r="I850" s="727"/>
      <c r="J850" s="727"/>
      <c r="K850" s="543"/>
      <c r="L850" s="527"/>
      <c r="M850" s="527"/>
    </row>
    <row r="851" spans="1:13">
      <c r="A851" s="527"/>
      <c r="B851" s="527"/>
      <c r="C851" s="527"/>
      <c r="D851" s="527"/>
      <c r="E851" s="527"/>
      <c r="F851" s="527"/>
      <c r="G851" s="527"/>
      <c r="H851" s="527"/>
      <c r="I851" s="527"/>
      <c r="J851" s="527"/>
      <c r="K851" s="527"/>
      <c r="L851" s="527"/>
      <c r="M851" s="527"/>
    </row>
    <row r="852" spans="1:13" ht="17.25">
      <c r="A852" s="598" t="s">
        <v>688</v>
      </c>
      <c r="B852" s="527"/>
      <c r="C852" s="805"/>
      <c r="D852" s="194" t="s">
        <v>689</v>
      </c>
      <c r="E852" s="527"/>
      <c r="F852" s="527"/>
      <c r="G852" s="527"/>
      <c r="H852" s="527"/>
      <c r="I852" s="527"/>
      <c r="J852" s="527"/>
      <c r="K852" s="527"/>
      <c r="L852" s="527"/>
      <c r="M852" s="527"/>
    </row>
    <row r="853" spans="1:13" s="95" customFormat="1">
      <c r="A853" s="725">
        <f t="array" ref="A853:A854">MMULT(A847:K848,A833:A843)</f>
        <v>6.7399260796534008</v>
      </c>
      <c r="B853" s="729"/>
      <c r="C853" s="726">
        <f t="array" ref="C853:D854">MMULT(A847:K848,C833:D843)</f>
        <v>11</v>
      </c>
      <c r="D853" s="732">
        <v>101.004</v>
      </c>
      <c r="E853" s="724"/>
      <c r="F853" s="724"/>
      <c r="G853" s="729"/>
      <c r="H853" s="543"/>
      <c r="I853" s="729"/>
      <c r="J853" s="729"/>
      <c r="K853" s="543"/>
      <c r="L853" s="543"/>
      <c r="M853" s="543"/>
    </row>
    <row r="854" spans="1:13" s="95" customFormat="1">
      <c r="A854" s="725">
        <v>62065.354036438373</v>
      </c>
      <c r="B854" s="543"/>
      <c r="C854" s="733">
        <v>101004</v>
      </c>
      <c r="D854" s="728">
        <v>934237.24200000009</v>
      </c>
      <c r="E854" s="727"/>
      <c r="F854" s="727"/>
      <c r="G854" s="543"/>
      <c r="H854" s="543"/>
      <c r="I854" s="543"/>
      <c r="J854" s="543"/>
      <c r="K854" s="543"/>
      <c r="L854" s="543"/>
      <c r="M854" s="543"/>
    </row>
    <row r="855" spans="1:13" s="95" customFormat="1">
      <c r="A855" s="727"/>
      <c r="B855" s="543"/>
      <c r="C855" s="727"/>
      <c r="D855" s="727"/>
      <c r="E855" s="727"/>
      <c r="F855" s="727"/>
      <c r="G855" s="543"/>
      <c r="H855" s="543"/>
      <c r="I855" s="543"/>
      <c r="J855" s="543"/>
      <c r="K855" s="543"/>
      <c r="L855" s="543"/>
      <c r="M855" s="543"/>
    </row>
    <row r="856" spans="1:13" s="95" customFormat="1">
      <c r="A856" s="727"/>
      <c r="B856" s="543"/>
      <c r="C856" s="727"/>
      <c r="D856" s="727"/>
      <c r="E856" s="727"/>
      <c r="F856" s="727"/>
      <c r="G856" s="543"/>
      <c r="H856" s="543"/>
      <c r="I856" s="543"/>
      <c r="J856" s="543"/>
      <c r="K856" s="543"/>
      <c r="L856" s="543"/>
      <c r="M856" s="543"/>
    </row>
    <row r="857" spans="1:13">
      <c r="A857" s="527"/>
      <c r="B857" s="527"/>
      <c r="C857" s="527"/>
      <c r="D857" s="527"/>
      <c r="E857" s="527"/>
      <c r="F857" s="527"/>
      <c r="G857" s="527"/>
      <c r="H857" s="527"/>
      <c r="I857" s="527"/>
      <c r="J857" s="527"/>
      <c r="K857" s="527"/>
      <c r="L857" s="527"/>
      <c r="M857" s="527"/>
    </row>
    <row r="858" spans="1:13" ht="17.25">
      <c r="A858" s="527"/>
      <c r="B858" s="598" t="s">
        <v>690</v>
      </c>
      <c r="C858" s="527"/>
      <c r="D858" s="723" t="s">
        <v>550</v>
      </c>
      <c r="E858" s="527"/>
      <c r="F858" s="527"/>
      <c r="G858" s="527"/>
      <c r="H858" s="527"/>
      <c r="I858" s="527"/>
      <c r="J858" s="527"/>
      <c r="K858" s="527"/>
      <c r="L858" s="527"/>
      <c r="M858" s="527"/>
    </row>
    <row r="859" spans="1:13" s="95" customFormat="1">
      <c r="A859" s="735">
        <f t="array" ref="A859:B860">MINVERSE(C853:D854)</f>
        <v>12.489527864132857</v>
      </c>
      <c r="B859" s="737">
        <v>-1.3502911419890442E-3</v>
      </c>
      <c r="C859" s="736"/>
      <c r="D859" s="806">
        <f t="array" ref="D859:D860">MMULT(A859:B860,A853:A854)</f>
        <v>0.37219679421016849</v>
      </c>
      <c r="E859" s="543"/>
      <c r="F859" s="727"/>
      <c r="G859" s="543"/>
      <c r="H859" s="543"/>
      <c r="I859" s="543"/>
      <c r="J859" s="543"/>
      <c r="K859" s="543"/>
      <c r="L859" s="543"/>
      <c r="M859" s="543"/>
    </row>
    <row r="860" spans="1:13" s="95" customFormat="1">
      <c r="A860" s="738">
        <v>-1.350291141989044</v>
      </c>
      <c r="B860" s="740">
        <v>1.4705558752009312E-4</v>
      </c>
      <c r="C860" s="739"/>
      <c r="D860" s="807">
        <v>2.6194619454097179E-2</v>
      </c>
      <c r="E860" s="543"/>
      <c r="F860" s="727"/>
      <c r="G860" s="543"/>
      <c r="H860" s="543"/>
      <c r="I860" s="543"/>
      <c r="J860" s="543"/>
      <c r="K860" s="543"/>
      <c r="L860" s="543"/>
      <c r="M860" s="543"/>
    </row>
    <row r="861" spans="1:13" s="95" customFormat="1">
      <c r="A861" s="739"/>
      <c r="B861" s="739"/>
      <c r="C861" s="739"/>
      <c r="D861" s="739"/>
      <c r="E861" s="543"/>
      <c r="F861" s="727"/>
      <c r="G861" s="543"/>
      <c r="H861" s="543"/>
      <c r="I861" s="543"/>
      <c r="J861" s="543"/>
      <c r="K861" s="543"/>
      <c r="L861" s="543"/>
      <c r="M861" s="543"/>
    </row>
    <row r="862" spans="1:13" s="95" customFormat="1">
      <c r="A862" s="739"/>
      <c r="B862" s="739"/>
      <c r="C862" s="739"/>
      <c r="D862" s="739"/>
      <c r="E862" s="543"/>
      <c r="F862" s="724"/>
      <c r="G862" s="543"/>
      <c r="H862" s="543"/>
      <c r="I862" s="543"/>
      <c r="J862" s="543"/>
      <c r="K862" s="543"/>
      <c r="L862" s="543"/>
      <c r="M862" s="543"/>
    </row>
    <row r="863" spans="1:13">
      <c r="A863" s="527"/>
      <c r="B863" s="527"/>
      <c r="C863" s="527"/>
      <c r="D863" s="527"/>
      <c r="E863" s="527"/>
      <c r="F863" s="527"/>
      <c r="G863" s="527"/>
      <c r="H863" s="527"/>
      <c r="I863" s="527"/>
      <c r="J863" s="527"/>
      <c r="K863" s="527"/>
      <c r="L863" s="527"/>
      <c r="M863" s="527"/>
    </row>
    <row r="864" spans="1:13">
      <c r="A864" s="527"/>
      <c r="B864" s="527"/>
      <c r="C864" s="527"/>
      <c r="D864" s="527"/>
      <c r="E864" s="527"/>
      <c r="F864" s="813">
        <f>(C872+B872)</f>
        <v>682572263.0999999</v>
      </c>
      <c r="G864" s="527"/>
      <c r="H864" s="527"/>
      <c r="I864" s="527"/>
      <c r="J864" s="527"/>
      <c r="K864" s="527"/>
      <c r="L864" s="527"/>
      <c r="M864" s="527"/>
    </row>
    <row r="865" spans="1:13">
      <c r="A865" s="741" t="s">
        <v>587</v>
      </c>
      <c r="B865" s="650"/>
      <c r="C865" s="650"/>
      <c r="D865" s="650"/>
      <c r="E865" s="650"/>
      <c r="F865" s="650"/>
      <c r="G865" s="650"/>
      <c r="H865" s="650"/>
      <c r="I865" s="650"/>
      <c r="J865" s="650"/>
      <c r="K865" s="527"/>
      <c r="L865" s="527"/>
      <c r="M865" s="527"/>
    </row>
    <row r="866" spans="1:13">
      <c r="A866" s="742"/>
      <c r="B866" s="743" t="s">
        <v>627</v>
      </c>
      <c r="C866" s="744">
        <f>D859</f>
        <v>0.37219679421016849</v>
      </c>
      <c r="D866" s="808">
        <f>D860</f>
        <v>2.6194619454097179E-2</v>
      </c>
      <c r="E866" s="742" t="s">
        <v>624</v>
      </c>
      <c r="F866" s="677"/>
      <c r="G866" s="677"/>
      <c r="H866" s="677"/>
      <c r="I866" s="677"/>
      <c r="J866" s="650"/>
      <c r="K866" s="527"/>
      <c r="L866" s="527"/>
      <c r="M866" s="527"/>
    </row>
    <row r="867" spans="1:13">
      <c r="A867" s="527"/>
      <c r="B867" s="527"/>
      <c r="C867" s="527"/>
      <c r="D867" s="527"/>
      <c r="E867" s="527"/>
      <c r="F867" s="527"/>
      <c r="G867" s="527"/>
      <c r="H867" s="527"/>
      <c r="I867" s="527"/>
      <c r="J867" s="527"/>
      <c r="K867" s="527"/>
      <c r="L867" s="527"/>
      <c r="M867" s="527"/>
    </row>
    <row r="868" spans="1:13" ht="15.75" thickBot="1">
      <c r="A868" s="527"/>
      <c r="B868" s="527"/>
      <c r="C868" s="527"/>
      <c r="D868" s="527"/>
      <c r="E868" s="527"/>
      <c r="F868" s="527"/>
      <c r="G868" s="527"/>
      <c r="H868" s="527"/>
      <c r="I868" s="527"/>
      <c r="J868" s="527"/>
      <c r="K868" s="527"/>
      <c r="L868" s="527"/>
      <c r="M868" s="527"/>
    </row>
    <row r="869" spans="1:13" ht="15.75" thickBot="1">
      <c r="A869" s="1016" t="s">
        <v>592</v>
      </c>
      <c r="B869" s="1016"/>
      <c r="C869" s="1016"/>
      <c r="D869" s="1016"/>
      <c r="E869" s="1016"/>
      <c r="F869" s="1038" t="s">
        <v>591</v>
      </c>
      <c r="G869" s="1039"/>
      <c r="H869" s="747"/>
      <c r="I869" s="747"/>
      <c r="J869" s="747"/>
      <c r="K869" s="650"/>
      <c r="L869" s="650"/>
      <c r="M869" s="650"/>
    </row>
    <row r="870" spans="1:13" ht="30">
      <c r="A870" s="718" t="s">
        <v>298</v>
      </c>
      <c r="B870" s="717" t="str">
        <f>B815</f>
        <v>Petróleo e derivados</v>
      </c>
      <c r="C870" s="718" t="str">
        <f t="shared" ref="C870:E870" si="141">C815</f>
        <v>Gás natural</v>
      </c>
      <c r="D870" s="717" t="str">
        <f t="shared" si="141"/>
        <v>População IBGE</v>
      </c>
      <c r="E870" s="593" t="str">
        <f t="shared" si="141"/>
        <v>PIB per capita</v>
      </c>
      <c r="F870" s="795" t="s">
        <v>537</v>
      </c>
      <c r="G870" s="796" t="s">
        <v>593</v>
      </c>
      <c r="H870" s="797" t="s">
        <v>537</v>
      </c>
      <c r="I870" s="649"/>
      <c r="J870" s="650"/>
      <c r="K870" s="650"/>
      <c r="L870" s="650"/>
      <c r="M870" s="650"/>
    </row>
    <row r="871" spans="1:13" ht="18" thickBot="1">
      <c r="A871" s="643"/>
      <c r="B871" s="716" t="s">
        <v>628</v>
      </c>
      <c r="C871" s="716" t="s">
        <v>628</v>
      </c>
      <c r="D871" s="716"/>
      <c r="E871" s="821" t="str">
        <f t="shared" ref="E871" si="142">E816</f>
        <v>(U$ PPP constante 2008)</v>
      </c>
      <c r="F871" s="798" t="s">
        <v>910</v>
      </c>
      <c r="G871" s="799" t="s">
        <v>910</v>
      </c>
      <c r="H871" s="799" t="s">
        <v>630</v>
      </c>
      <c r="I871" s="724"/>
      <c r="J871" s="650"/>
      <c r="K871" s="650"/>
      <c r="L871" s="650"/>
      <c r="M871" s="650"/>
    </row>
    <row r="872" spans="1:13">
      <c r="A872" s="597">
        <v>2001</v>
      </c>
      <c r="B872" s="814">
        <f>B817*$E$829*10^3</f>
        <v>610401816.69999993</v>
      </c>
      <c r="C872" s="814">
        <f>C817*$E$829*10^3</f>
        <v>72170446.400000006</v>
      </c>
      <c r="D872" s="597">
        <f t="shared" ref="D872" si="143">D817</f>
        <v>172334535</v>
      </c>
      <c r="E872" s="597">
        <f>E817*10^(-3)</f>
        <v>8.3369999999999997</v>
      </c>
      <c r="F872" s="822">
        <f t="shared" ref="F872:F875" si="144">(D872*10^($C$866+$D$866*E872))/(365*10^6)</f>
        <v>1.8393348045808462</v>
      </c>
      <c r="G872" s="823">
        <f>F872-H872</f>
        <v>-3.0726190213674176E-2</v>
      </c>
      <c r="H872" s="824">
        <f>(B872+C872)/(365*10^6)</f>
        <v>1.8700609947945204</v>
      </c>
      <c r="I872" s="736"/>
      <c r="J872" s="527"/>
      <c r="K872" s="527"/>
      <c r="L872" s="527"/>
      <c r="M872" s="527"/>
    </row>
    <row r="873" spans="1:13">
      <c r="A873" s="597">
        <v>2002</v>
      </c>
      <c r="B873" s="814">
        <f t="shared" ref="B873:C881" si="145">B818*$E$829*10^3</f>
        <v>619071277.5</v>
      </c>
      <c r="C873" s="814">
        <f t="shared" si="145"/>
        <v>88299021.200000003</v>
      </c>
      <c r="D873" s="597">
        <f t="shared" ref="D873" si="146">D818</f>
        <v>174978844</v>
      </c>
      <c r="E873" s="597">
        <f t="shared" ref="E873:E881" si="147">E818*10^(-3)</f>
        <v>8.2919999999999998</v>
      </c>
      <c r="F873" s="825">
        <f t="shared" si="144"/>
        <v>1.8624956079954922</v>
      </c>
      <c r="G873" s="823">
        <f t="shared" ref="G873:G881" si="148">F873-H873</f>
        <v>-7.550521036067237E-2</v>
      </c>
      <c r="H873" s="824">
        <f t="shared" ref="H873:H881" si="149">(B873+C873)/(365*10^6)</f>
        <v>1.9380008183561646</v>
      </c>
      <c r="I873" s="736"/>
      <c r="J873" s="527"/>
      <c r="K873" s="527"/>
      <c r="L873" s="527"/>
      <c r="M873" s="527"/>
    </row>
    <row r="874" spans="1:13">
      <c r="A874" s="597">
        <v>2003</v>
      </c>
      <c r="B874" s="814">
        <f t="shared" si="145"/>
        <v>600761263.70000005</v>
      </c>
      <c r="C874" s="814">
        <f t="shared" si="145"/>
        <v>104167230.7</v>
      </c>
      <c r="D874" s="597">
        <f t="shared" ref="D874" si="150">D819</f>
        <v>177451663</v>
      </c>
      <c r="E874" s="597">
        <f t="shared" si="147"/>
        <v>8.41</v>
      </c>
      <c r="F874" s="825">
        <f t="shared" si="144"/>
        <v>1.9023076442581266</v>
      </c>
      <c r="G874" s="823">
        <f t="shared" si="148"/>
        <v>-2.9003299303517416E-2</v>
      </c>
      <c r="H874" s="824">
        <f t="shared" si="149"/>
        <v>1.931310943561644</v>
      </c>
      <c r="I874" s="736"/>
      <c r="J874" s="527"/>
      <c r="K874" s="527"/>
      <c r="L874" s="527"/>
      <c r="M874" s="527"/>
    </row>
    <row r="875" spans="1:13">
      <c r="A875" s="597">
        <v>2004</v>
      </c>
      <c r="B875" s="814">
        <f t="shared" si="145"/>
        <v>570474446.10000002</v>
      </c>
      <c r="C875" s="814">
        <f t="shared" si="145"/>
        <v>109156392.8</v>
      </c>
      <c r="D875" s="597">
        <f t="shared" ref="D875" si="151">D820</f>
        <v>179824152</v>
      </c>
      <c r="E875" s="597">
        <f t="shared" si="147"/>
        <v>8.4190000000000005</v>
      </c>
      <c r="F875" s="825">
        <f t="shared" si="144"/>
        <v>1.9287878068106037</v>
      </c>
      <c r="G875" s="823">
        <f t="shared" si="148"/>
        <v>6.6785508454439313E-2</v>
      </c>
      <c r="H875" s="824">
        <f t="shared" si="149"/>
        <v>1.8620022983561644</v>
      </c>
      <c r="I875" s="736"/>
      <c r="J875" s="527"/>
      <c r="K875" s="527"/>
      <c r="L875" s="527"/>
      <c r="M875" s="527"/>
    </row>
    <row r="876" spans="1:13">
      <c r="A876" s="597">
        <v>2005</v>
      </c>
      <c r="B876" s="814">
        <f t="shared" si="145"/>
        <v>588622611.20000005</v>
      </c>
      <c r="C876" s="814">
        <f t="shared" si="145"/>
        <v>134130350.89999999</v>
      </c>
      <c r="D876" s="597">
        <f t="shared" ref="D876" si="152">D821</f>
        <v>182099287</v>
      </c>
      <c r="E876" s="597">
        <f t="shared" si="147"/>
        <v>8.8070000000000004</v>
      </c>
      <c r="F876" s="825">
        <f>(D876*10^($C$866+$D$866*E876))/(365*10^6)</f>
        <v>1.9994391365233843</v>
      </c>
      <c r="G876" s="823">
        <f t="shared" si="148"/>
        <v>1.9294034879548727E-2</v>
      </c>
      <c r="H876" s="824">
        <f t="shared" si="149"/>
        <v>1.9801451016438356</v>
      </c>
      <c r="I876" s="736"/>
      <c r="J876" s="527"/>
      <c r="K876" s="527"/>
      <c r="L876" s="527"/>
      <c r="M876" s="527"/>
    </row>
    <row r="877" spans="1:13">
      <c r="A877" s="597">
        <v>2006</v>
      </c>
      <c r="B877" s="814">
        <f t="shared" si="145"/>
        <v>594991005.69999993</v>
      </c>
      <c r="C877" s="814">
        <f t="shared" si="145"/>
        <v>144439409.40000001</v>
      </c>
      <c r="D877" s="597">
        <f t="shared" ref="D877" si="153">D822</f>
        <v>184280045</v>
      </c>
      <c r="E877" s="597">
        <f t="shared" si="147"/>
        <v>8.9819999999999993</v>
      </c>
      <c r="F877" s="825">
        <f t="shared" ref="F877:F881" si="154">(D877*10^($C$866+$D$866*E877))/(365*10^6)</f>
        <v>2.0448540280231868</v>
      </c>
      <c r="G877" s="823">
        <f t="shared" si="148"/>
        <v>1.9017274324557132E-2</v>
      </c>
      <c r="H877" s="824">
        <f t="shared" si="149"/>
        <v>2.0258367536986297</v>
      </c>
      <c r="I877" s="736"/>
      <c r="J877" s="527"/>
      <c r="K877" s="527"/>
      <c r="L877" s="527"/>
      <c r="M877" s="527"/>
    </row>
    <row r="878" spans="1:13">
      <c r="A878" s="597">
        <v>2007</v>
      </c>
      <c r="B878" s="814">
        <f t="shared" si="145"/>
        <v>601971610.50000012</v>
      </c>
      <c r="C878" s="814">
        <f t="shared" si="145"/>
        <v>152813320.40000001</v>
      </c>
      <c r="D878" s="597">
        <f t="shared" ref="D878" si="155">D823</f>
        <v>186369401</v>
      </c>
      <c r="E878" s="597">
        <f t="shared" si="147"/>
        <v>9.2720000000000002</v>
      </c>
      <c r="F878" s="825">
        <f t="shared" si="154"/>
        <v>2.104529659447596</v>
      </c>
      <c r="G878" s="823">
        <f t="shared" si="148"/>
        <v>3.6625739173623106E-2</v>
      </c>
      <c r="H878" s="824">
        <f t="shared" si="149"/>
        <v>2.0679039202739729</v>
      </c>
      <c r="I878" s="736"/>
      <c r="J878" s="527"/>
      <c r="K878" s="527"/>
      <c r="L878" s="527"/>
      <c r="M878" s="527"/>
    </row>
    <row r="879" spans="1:13">
      <c r="A879" s="597">
        <v>2008</v>
      </c>
      <c r="B879" s="814">
        <f t="shared" si="145"/>
        <v>627965919.10000002</v>
      </c>
      <c r="C879" s="814">
        <f t="shared" si="145"/>
        <v>155972888.5</v>
      </c>
      <c r="D879" s="597">
        <f t="shared" ref="D879" si="156">D824</f>
        <v>188370332</v>
      </c>
      <c r="E879" s="597">
        <f t="shared" si="147"/>
        <v>9.7230000000000008</v>
      </c>
      <c r="F879" s="825">
        <f t="shared" si="154"/>
        <v>2.1857813593763926</v>
      </c>
      <c r="G879" s="823">
        <f t="shared" si="148"/>
        <v>3.8003804307899181E-2</v>
      </c>
      <c r="H879" s="824">
        <f t="shared" si="149"/>
        <v>2.1477775550684934</v>
      </c>
      <c r="I879" s="736"/>
      <c r="J879" s="527"/>
      <c r="K879" s="527"/>
      <c r="L879" s="527"/>
      <c r="M879" s="527"/>
    </row>
    <row r="880" spans="1:13">
      <c r="A880" s="597">
        <v>2009</v>
      </c>
      <c r="B880" s="814">
        <f t="shared" si="145"/>
        <v>650279929</v>
      </c>
      <c r="C880" s="814">
        <f t="shared" si="145"/>
        <v>182494964.59999999</v>
      </c>
      <c r="D880" s="597">
        <f t="shared" ref="D880" si="157">D825</f>
        <v>190285812</v>
      </c>
      <c r="E880" s="597">
        <f t="shared" si="147"/>
        <v>10.077</v>
      </c>
      <c r="F880" s="825">
        <f t="shared" si="154"/>
        <v>2.2556593748297447</v>
      </c>
      <c r="G880" s="823">
        <f t="shared" si="148"/>
        <v>-2.5915676129159682E-2</v>
      </c>
      <c r="H880" s="824">
        <f t="shared" si="149"/>
        <v>2.2815750509589043</v>
      </c>
      <c r="I880" s="736"/>
      <c r="J880" s="527"/>
      <c r="K880" s="527"/>
      <c r="L880" s="527"/>
      <c r="M880" s="527"/>
    </row>
    <row r="881" spans="1:13" ht="15.75" thickBot="1">
      <c r="A881" s="716">
        <v>2010</v>
      </c>
      <c r="B881" s="716">
        <f t="shared" si="145"/>
        <v>651328427.10000002</v>
      </c>
      <c r="C881" s="716">
        <f t="shared" si="145"/>
        <v>148795250.5</v>
      </c>
      <c r="D881" s="716">
        <f t="shared" ref="D881" si="158">D826</f>
        <v>192118819</v>
      </c>
      <c r="E881" s="716">
        <f t="shared" si="147"/>
        <v>10.077999999999999</v>
      </c>
      <c r="F881" s="826">
        <f t="shared" si="154"/>
        <v>2.2775253148033725</v>
      </c>
      <c r="G881" s="827">
        <f t="shared" si="148"/>
        <v>8.540565014583823E-2</v>
      </c>
      <c r="H881" s="828">
        <f t="shared" si="149"/>
        <v>2.1921196646575343</v>
      </c>
      <c r="I881" s="736"/>
      <c r="J881" s="527"/>
      <c r="K881" s="527"/>
      <c r="L881" s="527"/>
      <c r="M881" s="527"/>
    </row>
    <row r="882" spans="1:13" ht="15.75" thickBot="1">
      <c r="A882" s="527"/>
      <c r="B882" s="527"/>
      <c r="C882" s="527"/>
      <c r="D882" s="527"/>
      <c r="E882" s="527"/>
      <c r="F882" s="527"/>
      <c r="G882" s="527"/>
      <c r="H882" s="527"/>
      <c r="I882" s="527"/>
      <c r="J882" s="527"/>
      <c r="K882" s="527"/>
      <c r="L882" s="527"/>
      <c r="M882" s="527"/>
    </row>
    <row r="883" spans="1:13" ht="15.75" thickBot="1">
      <c r="A883" s="677"/>
      <c r="B883" s="1017" t="s">
        <v>541</v>
      </c>
      <c r="C883" s="1018"/>
      <c r="D883" s="1018"/>
      <c r="E883" s="1018"/>
      <c r="F883" s="1017" t="s">
        <v>532</v>
      </c>
      <c r="G883" s="1018"/>
      <c r="H883" s="1018"/>
      <c r="I883" s="1019"/>
      <c r="J883" s="1018" t="s">
        <v>542</v>
      </c>
      <c r="K883" s="1018"/>
      <c r="L883" s="1018"/>
      <c r="M883" s="1019"/>
    </row>
    <row r="884" spans="1:13" ht="30">
      <c r="A884" s="1036" t="s">
        <v>298</v>
      </c>
      <c r="B884" s="800" t="s">
        <v>537</v>
      </c>
      <c r="C884" s="796" t="s">
        <v>143</v>
      </c>
      <c r="D884" s="797" t="str">
        <f>E870</f>
        <v>PIB per capita</v>
      </c>
      <c r="E884" s="801"/>
      <c r="F884" s="797" t="s">
        <v>537</v>
      </c>
      <c r="G884" s="796" t="str">
        <f>C884</f>
        <v>População</v>
      </c>
      <c r="H884" s="829" t="s">
        <v>621</v>
      </c>
      <c r="I884" s="802"/>
      <c r="J884" s="800" t="s">
        <v>537</v>
      </c>
      <c r="K884" s="796" t="s">
        <v>143</v>
      </c>
      <c r="L884" s="829" t="s">
        <v>621</v>
      </c>
      <c r="M884" s="801"/>
    </row>
    <row r="885" spans="1:13" ht="18" thickBot="1">
      <c r="A885" s="1037"/>
      <c r="B885" s="803" t="s">
        <v>910</v>
      </c>
      <c r="C885" s="799" t="s">
        <v>629</v>
      </c>
      <c r="D885" s="830" t="str">
        <f>E871</f>
        <v>(U$ PPP constante 2008)</v>
      </c>
      <c r="E885" s="804"/>
      <c r="F885" s="799" t="s">
        <v>884</v>
      </c>
      <c r="G885" s="799" t="s">
        <v>629</v>
      </c>
      <c r="H885" s="831" t="s">
        <v>622</v>
      </c>
      <c r="I885" s="799"/>
      <c r="J885" s="803" t="s">
        <v>884</v>
      </c>
      <c r="K885" s="799" t="s">
        <v>629</v>
      </c>
      <c r="L885" s="831" t="s">
        <v>622</v>
      </c>
      <c r="M885" s="804"/>
    </row>
    <row r="886" spans="1:13">
      <c r="A886" s="754">
        <f t="shared" ref="A886:A895" si="159">A872</f>
        <v>2001</v>
      </c>
      <c r="B886" s="755">
        <f>F872</f>
        <v>1.8393348045808462</v>
      </c>
      <c r="C886" s="815">
        <f>D872*10^-3</f>
        <v>172334.535</v>
      </c>
      <c r="D886" s="695">
        <f>E872</f>
        <v>8.3369999999999997</v>
      </c>
      <c r="E886" s="756"/>
      <c r="F886" s="816">
        <f>B886</f>
        <v>1.8393348045808462</v>
      </c>
      <c r="G886" s="817">
        <f t="shared" ref="G886:G895" si="160">C886</f>
        <v>172334.535</v>
      </c>
      <c r="H886" s="818">
        <f t="shared" ref="H886:H895" si="161">D886</f>
        <v>8.3369999999999997</v>
      </c>
      <c r="I886" s="759"/>
      <c r="J886" s="816">
        <f t="shared" ref="J886:J895" si="162">F886</f>
        <v>1.8393348045808462</v>
      </c>
      <c r="K886" s="817">
        <f t="shared" ref="K886:K895" si="163">G886</f>
        <v>172334.535</v>
      </c>
      <c r="L886" s="818">
        <f t="shared" ref="L886:L895" si="164">H886</f>
        <v>8.3369999999999997</v>
      </c>
      <c r="M886" s="759"/>
    </row>
    <row r="887" spans="1:13">
      <c r="A887" s="760">
        <f t="shared" si="159"/>
        <v>2002</v>
      </c>
      <c r="B887" s="755">
        <f t="shared" ref="B887:B895" si="165">F873</f>
        <v>1.8624956079954922</v>
      </c>
      <c r="C887" s="815">
        <f t="shared" ref="C887:C895" si="166">D873*10^-3</f>
        <v>174978.84400000001</v>
      </c>
      <c r="D887" s="695">
        <f t="shared" ref="D887:D895" si="167">E873</f>
        <v>8.2919999999999998</v>
      </c>
      <c r="E887" s="756"/>
      <c r="F887" s="755">
        <f t="shared" ref="F887:F895" si="168">B887</f>
        <v>1.8624956079954922</v>
      </c>
      <c r="G887" s="815">
        <f t="shared" si="160"/>
        <v>174978.84400000001</v>
      </c>
      <c r="H887" s="695">
        <f t="shared" si="161"/>
        <v>8.2919999999999998</v>
      </c>
      <c r="I887" s="756"/>
      <c r="J887" s="755">
        <f t="shared" si="162"/>
        <v>1.8624956079954922</v>
      </c>
      <c r="K887" s="815">
        <f t="shared" si="163"/>
        <v>174978.84400000001</v>
      </c>
      <c r="L887" s="695">
        <f t="shared" si="164"/>
        <v>8.2919999999999998</v>
      </c>
      <c r="M887" s="756"/>
    </row>
    <row r="888" spans="1:13">
      <c r="A888" s="760">
        <f t="shared" si="159"/>
        <v>2003</v>
      </c>
      <c r="B888" s="755">
        <f t="shared" si="165"/>
        <v>1.9023076442581266</v>
      </c>
      <c r="C888" s="815">
        <f t="shared" si="166"/>
        <v>177451.663</v>
      </c>
      <c r="D888" s="695">
        <f t="shared" si="167"/>
        <v>8.41</v>
      </c>
      <c r="E888" s="756"/>
      <c r="F888" s="755">
        <f t="shared" si="168"/>
        <v>1.9023076442581266</v>
      </c>
      <c r="G888" s="815">
        <f t="shared" si="160"/>
        <v>177451.663</v>
      </c>
      <c r="H888" s="695">
        <f t="shared" si="161"/>
        <v>8.41</v>
      </c>
      <c r="I888" s="756"/>
      <c r="J888" s="755">
        <f t="shared" si="162"/>
        <v>1.9023076442581266</v>
      </c>
      <c r="K888" s="815">
        <f t="shared" si="163"/>
        <v>177451.663</v>
      </c>
      <c r="L888" s="695">
        <f t="shared" si="164"/>
        <v>8.41</v>
      </c>
      <c r="M888" s="756"/>
    </row>
    <row r="889" spans="1:13">
      <c r="A889" s="760">
        <f t="shared" si="159"/>
        <v>2004</v>
      </c>
      <c r="B889" s="755">
        <f t="shared" si="165"/>
        <v>1.9287878068106037</v>
      </c>
      <c r="C889" s="815">
        <f t="shared" si="166"/>
        <v>179824.152</v>
      </c>
      <c r="D889" s="695">
        <f t="shared" si="167"/>
        <v>8.4190000000000005</v>
      </c>
      <c r="E889" s="756"/>
      <c r="F889" s="755">
        <f t="shared" si="168"/>
        <v>1.9287878068106037</v>
      </c>
      <c r="G889" s="815">
        <f t="shared" si="160"/>
        <v>179824.152</v>
      </c>
      <c r="H889" s="695">
        <f t="shared" si="161"/>
        <v>8.4190000000000005</v>
      </c>
      <c r="I889" s="756"/>
      <c r="J889" s="755">
        <f t="shared" si="162"/>
        <v>1.9287878068106037</v>
      </c>
      <c r="K889" s="815">
        <f t="shared" si="163"/>
        <v>179824.152</v>
      </c>
      <c r="L889" s="695">
        <f t="shared" si="164"/>
        <v>8.4190000000000005</v>
      </c>
      <c r="M889" s="756"/>
    </row>
    <row r="890" spans="1:13">
      <c r="A890" s="760">
        <f t="shared" si="159"/>
        <v>2005</v>
      </c>
      <c r="B890" s="755">
        <f t="shared" si="165"/>
        <v>1.9994391365233843</v>
      </c>
      <c r="C890" s="815">
        <f t="shared" si="166"/>
        <v>182099.28700000001</v>
      </c>
      <c r="D890" s="695">
        <f t="shared" si="167"/>
        <v>8.8070000000000004</v>
      </c>
      <c r="E890" s="756"/>
      <c r="F890" s="755">
        <f t="shared" si="168"/>
        <v>1.9994391365233843</v>
      </c>
      <c r="G890" s="815">
        <f t="shared" si="160"/>
        <v>182099.28700000001</v>
      </c>
      <c r="H890" s="695">
        <f t="shared" si="161"/>
        <v>8.8070000000000004</v>
      </c>
      <c r="I890" s="756"/>
      <c r="J890" s="755">
        <f t="shared" si="162"/>
        <v>1.9994391365233843</v>
      </c>
      <c r="K890" s="815">
        <f t="shared" si="163"/>
        <v>182099.28700000001</v>
      </c>
      <c r="L890" s="695">
        <f t="shared" si="164"/>
        <v>8.8070000000000004</v>
      </c>
      <c r="M890" s="756"/>
    </row>
    <row r="891" spans="1:13">
      <c r="A891" s="760">
        <f t="shared" si="159"/>
        <v>2006</v>
      </c>
      <c r="B891" s="755">
        <f t="shared" si="165"/>
        <v>2.0448540280231868</v>
      </c>
      <c r="C891" s="815">
        <f t="shared" si="166"/>
        <v>184280.04500000001</v>
      </c>
      <c r="D891" s="695">
        <f t="shared" si="167"/>
        <v>8.9819999999999993</v>
      </c>
      <c r="E891" s="756"/>
      <c r="F891" s="755">
        <f t="shared" si="168"/>
        <v>2.0448540280231868</v>
      </c>
      <c r="G891" s="815">
        <f t="shared" si="160"/>
        <v>184280.04500000001</v>
      </c>
      <c r="H891" s="695">
        <f t="shared" si="161"/>
        <v>8.9819999999999993</v>
      </c>
      <c r="I891" s="756"/>
      <c r="J891" s="755">
        <f t="shared" si="162"/>
        <v>2.0448540280231868</v>
      </c>
      <c r="K891" s="815">
        <f t="shared" si="163"/>
        <v>184280.04500000001</v>
      </c>
      <c r="L891" s="695">
        <f t="shared" si="164"/>
        <v>8.9819999999999993</v>
      </c>
      <c r="M891" s="756"/>
    </row>
    <row r="892" spans="1:13">
      <c r="A892" s="760">
        <f t="shared" si="159"/>
        <v>2007</v>
      </c>
      <c r="B892" s="755">
        <f t="shared" si="165"/>
        <v>2.104529659447596</v>
      </c>
      <c r="C892" s="815">
        <f t="shared" si="166"/>
        <v>186369.40100000001</v>
      </c>
      <c r="D892" s="695">
        <f t="shared" si="167"/>
        <v>9.2720000000000002</v>
      </c>
      <c r="E892" s="756"/>
      <c r="F892" s="755">
        <f t="shared" si="168"/>
        <v>2.104529659447596</v>
      </c>
      <c r="G892" s="815">
        <f t="shared" si="160"/>
        <v>186369.40100000001</v>
      </c>
      <c r="H892" s="695">
        <f t="shared" si="161"/>
        <v>9.2720000000000002</v>
      </c>
      <c r="I892" s="756"/>
      <c r="J892" s="755">
        <f t="shared" si="162"/>
        <v>2.104529659447596</v>
      </c>
      <c r="K892" s="815">
        <f t="shared" si="163"/>
        <v>186369.40100000001</v>
      </c>
      <c r="L892" s="695">
        <f t="shared" si="164"/>
        <v>9.2720000000000002</v>
      </c>
      <c r="M892" s="756"/>
    </row>
    <row r="893" spans="1:13">
      <c r="A893" s="760">
        <f t="shared" si="159"/>
        <v>2008</v>
      </c>
      <c r="B893" s="755">
        <f t="shared" si="165"/>
        <v>2.1857813593763926</v>
      </c>
      <c r="C893" s="815">
        <f t="shared" si="166"/>
        <v>188370.33199999999</v>
      </c>
      <c r="D893" s="695">
        <f t="shared" si="167"/>
        <v>9.7230000000000008</v>
      </c>
      <c r="E893" s="756"/>
      <c r="F893" s="755">
        <f t="shared" si="168"/>
        <v>2.1857813593763926</v>
      </c>
      <c r="G893" s="815">
        <f t="shared" si="160"/>
        <v>188370.33199999999</v>
      </c>
      <c r="H893" s="695">
        <f t="shared" si="161"/>
        <v>9.7230000000000008</v>
      </c>
      <c r="I893" s="756"/>
      <c r="J893" s="755">
        <f t="shared" si="162"/>
        <v>2.1857813593763926</v>
      </c>
      <c r="K893" s="815">
        <f t="shared" si="163"/>
        <v>188370.33199999999</v>
      </c>
      <c r="L893" s="695">
        <f t="shared" si="164"/>
        <v>9.7230000000000008</v>
      </c>
      <c r="M893" s="756"/>
    </row>
    <row r="894" spans="1:13">
      <c r="A894" s="760">
        <f t="shared" si="159"/>
        <v>2009</v>
      </c>
      <c r="B894" s="755">
        <f t="shared" si="165"/>
        <v>2.2556593748297447</v>
      </c>
      <c r="C894" s="815">
        <f t="shared" si="166"/>
        <v>190285.81200000001</v>
      </c>
      <c r="D894" s="695">
        <f t="shared" si="167"/>
        <v>10.077</v>
      </c>
      <c r="E894" s="756"/>
      <c r="F894" s="755">
        <f t="shared" si="168"/>
        <v>2.2556593748297447</v>
      </c>
      <c r="G894" s="815">
        <f t="shared" si="160"/>
        <v>190285.81200000001</v>
      </c>
      <c r="H894" s="695">
        <f t="shared" si="161"/>
        <v>10.077</v>
      </c>
      <c r="I894" s="756"/>
      <c r="J894" s="755">
        <f t="shared" si="162"/>
        <v>2.2556593748297447</v>
      </c>
      <c r="K894" s="815">
        <f t="shared" si="163"/>
        <v>190285.81200000001</v>
      </c>
      <c r="L894" s="695">
        <f t="shared" si="164"/>
        <v>10.077</v>
      </c>
      <c r="M894" s="756"/>
    </row>
    <row r="895" spans="1:13">
      <c r="A895" s="760">
        <f t="shared" si="159"/>
        <v>2010</v>
      </c>
      <c r="B895" s="755">
        <f t="shared" si="165"/>
        <v>2.2775253148033725</v>
      </c>
      <c r="C895" s="815">
        <f t="shared" si="166"/>
        <v>192118.81900000002</v>
      </c>
      <c r="D895" s="695">
        <f t="shared" si="167"/>
        <v>10.077999999999999</v>
      </c>
      <c r="E895" s="756"/>
      <c r="F895" s="755">
        <f t="shared" si="168"/>
        <v>2.2775253148033725</v>
      </c>
      <c r="G895" s="815">
        <f t="shared" si="160"/>
        <v>192118.81900000002</v>
      </c>
      <c r="H895" s="695">
        <f t="shared" si="161"/>
        <v>10.077999999999999</v>
      </c>
      <c r="I895" s="756"/>
      <c r="J895" s="755">
        <f t="shared" si="162"/>
        <v>2.2775253148033725</v>
      </c>
      <c r="K895" s="815">
        <f t="shared" si="163"/>
        <v>192118.81900000002</v>
      </c>
      <c r="L895" s="695">
        <f t="shared" si="164"/>
        <v>10.077999999999999</v>
      </c>
      <c r="M895" s="756"/>
    </row>
    <row r="896" spans="1:13">
      <c r="A896" s="760">
        <v>2011</v>
      </c>
      <c r="B896" s="755">
        <f>(C896*10^($C$866+$D$866*D896))/(365*10^3)</f>
        <v>2.3421034346152543</v>
      </c>
      <c r="C896" s="695">
        <f>C895*(1+$D$688)</f>
        <v>194232.126009</v>
      </c>
      <c r="D896" s="695">
        <f>D895*(1+$D$689)</f>
        <v>10.360184</v>
      </c>
      <c r="E896" s="819"/>
      <c r="F896" s="755">
        <f>(G896*10^($C$866+$D$866*H896))/(365*10^3)</f>
        <v>2.3687719258320561</v>
      </c>
      <c r="G896" s="695">
        <f>G895*(1+$E$688)</f>
        <v>194424.24482800002</v>
      </c>
      <c r="H896" s="695">
        <f>H895*(1+$E$689)</f>
        <v>10.531509999999999</v>
      </c>
      <c r="I896" s="819"/>
      <c r="J896" s="755">
        <f>(K896*10^($C$866+$D$866*L896))/(365*10^3)</f>
        <v>2.3293254221908737</v>
      </c>
      <c r="K896" s="695">
        <f>K895*(1+$F$688)</f>
        <v>194232.126009</v>
      </c>
      <c r="L896" s="695">
        <f>L895*(1+$F$689)</f>
        <v>10.269481999999998</v>
      </c>
      <c r="M896" s="762"/>
    </row>
    <row r="897" spans="1:13">
      <c r="A897" s="760">
        <v>2012</v>
      </c>
      <c r="B897" s="755">
        <f t="shared" ref="B897:B905" si="169">(C897*10^($C$866+$D$866*D897))/(365*10^3)</f>
        <v>2.4096607114679149</v>
      </c>
      <c r="C897" s="695">
        <f t="shared" ref="C897:C905" si="170">C896*(1+$D$688)</f>
        <v>196368.67939509897</v>
      </c>
      <c r="D897" s="695">
        <f t="shared" ref="D897:D905" si="171">D896*(1+$D$689)</f>
        <v>10.650269152</v>
      </c>
      <c r="E897" s="819"/>
      <c r="F897" s="755">
        <f t="shared" ref="F897:F905" si="172">(G897*10^($C$866+$D$866*H897))/(365*10^3)</f>
        <v>2.466708669010004</v>
      </c>
      <c r="G897" s="695">
        <f t="shared" ref="G897:G905" si="173">G896*(1+$E$688)</f>
        <v>196757.33576593603</v>
      </c>
      <c r="H897" s="695">
        <f t="shared" ref="H897:H905" si="174">H896*(1+$E$689)</f>
        <v>11.005427949999998</v>
      </c>
      <c r="I897" s="819"/>
      <c r="J897" s="755">
        <f t="shared" ref="J897:J905" si="175">(K897*10^($C$866+$D$866*L897))/(365*10^3)</f>
        <v>2.3828264951572655</v>
      </c>
      <c r="K897" s="695">
        <f t="shared" ref="K897:K905" si="176">K896*(1+$F$688)</f>
        <v>196368.67939509897</v>
      </c>
      <c r="L897" s="695">
        <f t="shared" ref="L897:L905" si="177">L896*(1+$F$689)</f>
        <v>10.464602157999996</v>
      </c>
      <c r="M897" s="762"/>
    </row>
    <row r="898" spans="1:13">
      <c r="A898" s="760">
        <v>2013</v>
      </c>
      <c r="B898" s="755">
        <f t="shared" si="169"/>
        <v>2.4803815100113229</v>
      </c>
      <c r="C898" s="695">
        <f t="shared" si="170"/>
        <v>198528.73486844503</v>
      </c>
      <c r="D898" s="695">
        <f t="shared" si="171"/>
        <v>10.948476688256001</v>
      </c>
      <c r="E898" s="819"/>
      <c r="F898" s="755">
        <f t="shared" si="172"/>
        <v>2.5720008482142194</v>
      </c>
      <c r="G898" s="695">
        <f t="shared" si="173"/>
        <v>199118.42379512728</v>
      </c>
      <c r="H898" s="695">
        <f t="shared" si="174"/>
        <v>11.500672207749997</v>
      </c>
      <c r="I898" s="819"/>
      <c r="J898" s="755">
        <f t="shared" si="175"/>
        <v>2.4381015199134821</v>
      </c>
      <c r="K898" s="695">
        <f t="shared" si="176"/>
        <v>198528.73486844503</v>
      </c>
      <c r="L898" s="695">
        <f t="shared" si="177"/>
        <v>10.663429599001995</v>
      </c>
      <c r="M898" s="762"/>
    </row>
    <row r="899" spans="1:13">
      <c r="A899" s="760">
        <v>2014</v>
      </c>
      <c r="B899" s="755">
        <f t="shared" si="169"/>
        <v>2.5544640430870276</v>
      </c>
      <c r="C899" s="695">
        <f t="shared" si="170"/>
        <v>200712.5509519979</v>
      </c>
      <c r="D899" s="695">
        <f t="shared" si="171"/>
        <v>11.255034035527169</v>
      </c>
      <c r="E899" s="819"/>
      <c r="F899" s="755">
        <f t="shared" si="172"/>
        <v>2.6853947029523928</v>
      </c>
      <c r="G899" s="695">
        <f t="shared" si="173"/>
        <v>201507.84488066882</v>
      </c>
      <c r="H899" s="695">
        <f t="shared" si="174"/>
        <v>12.018202457098745</v>
      </c>
      <c r="I899" s="819"/>
      <c r="J899" s="755">
        <f t="shared" si="175"/>
        <v>2.4952272574202885</v>
      </c>
      <c r="K899" s="695">
        <f t="shared" si="176"/>
        <v>200712.5509519979</v>
      </c>
      <c r="L899" s="695">
        <f t="shared" si="177"/>
        <v>10.866034761383032</v>
      </c>
      <c r="M899" s="762"/>
    </row>
    <row r="900" spans="1:13">
      <c r="A900" s="760">
        <v>2015</v>
      </c>
      <c r="B900" s="755">
        <f t="shared" si="169"/>
        <v>2.6321215858583851</v>
      </c>
      <c r="C900" s="695">
        <f t="shared" si="170"/>
        <v>202920.38901246985</v>
      </c>
      <c r="D900" s="695">
        <f t="shared" si="171"/>
        <v>11.570174988521931</v>
      </c>
      <c r="E900" s="819"/>
      <c r="F900" s="755">
        <f t="shared" si="172"/>
        <v>2.8077290228233349</v>
      </c>
      <c r="G900" s="695">
        <f t="shared" si="173"/>
        <v>203925.93901923686</v>
      </c>
      <c r="H900" s="695">
        <f t="shared" si="174"/>
        <v>12.559021567668188</v>
      </c>
      <c r="I900" s="819"/>
      <c r="J900" s="755">
        <f t="shared" si="175"/>
        <v>2.5542844694263862</v>
      </c>
      <c r="K900" s="695">
        <f t="shared" si="176"/>
        <v>202920.38901246985</v>
      </c>
      <c r="L900" s="695">
        <f t="shared" si="177"/>
        <v>11.072489421849308</v>
      </c>
      <c r="M900" s="762"/>
    </row>
    <row r="901" spans="1:13">
      <c r="A901" s="760">
        <v>2016</v>
      </c>
      <c r="B901" s="755">
        <f t="shared" si="169"/>
        <v>2.7135838112917487</v>
      </c>
      <c r="C901" s="695">
        <f t="shared" si="170"/>
        <v>205152.513291607</v>
      </c>
      <c r="D901" s="695">
        <f t="shared" si="171"/>
        <v>11.894139888200545</v>
      </c>
      <c r="E901" s="819"/>
      <c r="F901" s="755">
        <f t="shared" si="172"/>
        <v>2.9399486793613088</v>
      </c>
      <c r="G901" s="695">
        <f t="shared" si="173"/>
        <v>206373.05028746769</v>
      </c>
      <c r="H901" s="695">
        <f t="shared" si="174"/>
        <v>13.124177538213255</v>
      </c>
      <c r="I901" s="819"/>
      <c r="J901" s="755">
        <f t="shared" si="175"/>
        <v>2.6153581598258655</v>
      </c>
      <c r="K901" s="695">
        <f t="shared" si="176"/>
        <v>205152.513291607</v>
      </c>
      <c r="L901" s="695">
        <f t="shared" si="177"/>
        <v>11.282866720864444</v>
      </c>
      <c r="M901" s="762"/>
    </row>
    <row r="902" spans="1:13">
      <c r="A902" s="760">
        <v>2017</v>
      </c>
      <c r="B902" s="755">
        <f t="shared" si="169"/>
        <v>2.7990982605728729</v>
      </c>
      <c r="C902" s="695">
        <f t="shared" si="170"/>
        <v>207409.19093781465</v>
      </c>
      <c r="D902" s="695">
        <f t="shared" si="171"/>
        <v>12.227175805070161</v>
      </c>
      <c r="E902" s="819"/>
      <c r="F902" s="755">
        <f t="shared" si="172"/>
        <v>3.0831204326256856</v>
      </c>
      <c r="G902" s="695">
        <f t="shared" si="173"/>
        <v>208849.5268909173</v>
      </c>
      <c r="H902" s="695">
        <f t="shared" si="174"/>
        <v>13.714765527432851</v>
      </c>
      <c r="I902" s="819"/>
      <c r="J902" s="755">
        <f t="shared" si="175"/>
        <v>2.6785378324910267</v>
      </c>
      <c r="K902" s="695">
        <f t="shared" si="176"/>
        <v>207409.19093781465</v>
      </c>
      <c r="L902" s="695">
        <f t="shared" si="177"/>
        <v>11.497241188560867</v>
      </c>
      <c r="M902" s="762"/>
    </row>
    <row r="903" spans="1:13">
      <c r="A903" s="760">
        <v>2018</v>
      </c>
      <c r="B903" s="755">
        <f t="shared" si="169"/>
        <v>2.8889319637234414</v>
      </c>
      <c r="C903" s="695">
        <f t="shared" si="170"/>
        <v>209690.6920381306</v>
      </c>
      <c r="D903" s="695">
        <f t="shared" si="171"/>
        <v>12.569536727612125</v>
      </c>
      <c r="E903" s="819"/>
      <c r="F903" s="755">
        <f t="shared" si="172"/>
        <v>3.2384514440681311</v>
      </c>
      <c r="G903" s="695">
        <f t="shared" si="173"/>
        <v>211355.72121360831</v>
      </c>
      <c r="H903" s="695">
        <f t="shared" si="174"/>
        <v>14.331929976167329</v>
      </c>
      <c r="I903" s="819"/>
      <c r="J903" s="755">
        <f t="shared" si="175"/>
        <v>2.7439177668325461</v>
      </c>
      <c r="K903" s="695">
        <f t="shared" si="176"/>
        <v>209690.6920381306</v>
      </c>
      <c r="L903" s="695">
        <f t="shared" si="177"/>
        <v>11.715688771143522</v>
      </c>
      <c r="M903" s="762"/>
    </row>
    <row r="904" spans="1:13">
      <c r="A904" s="760">
        <v>2019</v>
      </c>
      <c r="B904" s="755">
        <f t="shared" si="169"/>
        <v>2.983373227590691</v>
      </c>
      <c r="C904" s="695">
        <f t="shared" si="170"/>
        <v>211997.28965055002</v>
      </c>
      <c r="D904" s="695">
        <f t="shared" si="171"/>
        <v>12.921483755985264</v>
      </c>
      <c r="E904" s="819"/>
      <c r="F904" s="755">
        <f t="shared" si="172"/>
        <v>3.4073110183457538</v>
      </c>
      <c r="G904" s="695">
        <f t="shared" si="173"/>
        <v>213891.9898681716</v>
      </c>
      <c r="H904" s="695">
        <f t="shared" si="174"/>
        <v>14.976866825094858</v>
      </c>
      <c r="I904" s="819"/>
      <c r="J904" s="755">
        <f t="shared" si="175"/>
        <v>2.8115973124435438</v>
      </c>
      <c r="K904" s="695">
        <f t="shared" si="176"/>
        <v>211997.28965055002</v>
      </c>
      <c r="L904" s="695">
        <f t="shared" si="177"/>
        <v>11.938286857795248</v>
      </c>
      <c r="M904" s="762"/>
    </row>
    <row r="905" spans="1:13" ht="15.75" thickBot="1">
      <c r="A905" s="763">
        <v>2020</v>
      </c>
      <c r="B905" s="764">
        <f t="shared" si="169"/>
        <v>3.0827336105521361</v>
      </c>
      <c r="C905" s="701">
        <f t="shared" si="170"/>
        <v>214329.25983670604</v>
      </c>
      <c r="D905" s="701">
        <f t="shared" si="171"/>
        <v>13.283285301152851</v>
      </c>
      <c r="E905" s="820"/>
      <c r="F905" s="764">
        <f t="shared" si="172"/>
        <v>3.5912562090915801</v>
      </c>
      <c r="G905" s="701">
        <f t="shared" si="173"/>
        <v>216458.69374658965</v>
      </c>
      <c r="H905" s="701">
        <f t="shared" si="174"/>
        <v>15.650825832224125</v>
      </c>
      <c r="I905" s="820"/>
      <c r="J905" s="764">
        <f t="shared" si="175"/>
        <v>2.8816812042982032</v>
      </c>
      <c r="K905" s="701">
        <f t="shared" si="176"/>
        <v>214329.25983670604</v>
      </c>
      <c r="L905" s="701">
        <f t="shared" si="177"/>
        <v>12.165114308093356</v>
      </c>
      <c r="M905" s="766"/>
    </row>
    <row r="906" spans="1:13">
      <c r="A906" s="527"/>
      <c r="B906" s="527"/>
      <c r="C906" s="527"/>
      <c r="D906" s="527"/>
      <c r="E906" s="527"/>
      <c r="F906" s="527"/>
      <c r="G906" s="527"/>
      <c r="H906" s="527"/>
      <c r="I906" s="527"/>
      <c r="J906" s="527"/>
      <c r="K906" s="527"/>
      <c r="L906" s="527"/>
      <c r="M906" s="527"/>
    </row>
    <row r="907" spans="1:13">
      <c r="A907" s="527"/>
      <c r="B907" s="527"/>
      <c r="C907" s="527"/>
      <c r="D907" s="527"/>
      <c r="E907" s="527"/>
      <c r="F907" s="527"/>
      <c r="G907" s="527"/>
      <c r="H907" s="527"/>
      <c r="I907" s="527"/>
      <c r="J907" s="527"/>
      <c r="K907" s="527"/>
      <c r="L907" s="527"/>
      <c r="M907" s="527"/>
    </row>
    <row r="908" spans="1:13">
      <c r="A908" s="527"/>
      <c r="B908" s="527"/>
      <c r="C908" s="527"/>
      <c r="D908" s="527"/>
      <c r="E908" s="527"/>
      <c r="F908" s="527"/>
      <c r="G908" s="527"/>
      <c r="H908" s="527"/>
      <c r="I908" s="527"/>
      <c r="J908" s="527"/>
      <c r="K908" s="527"/>
      <c r="L908" s="527"/>
      <c r="M908" s="527"/>
    </row>
    <row r="909" spans="1:13">
      <c r="A909" s="527"/>
      <c r="B909" s="527"/>
      <c r="C909" s="527"/>
      <c r="D909" s="527"/>
      <c r="E909" s="527"/>
      <c r="F909" s="527"/>
      <c r="G909" s="527"/>
      <c r="H909" s="527"/>
      <c r="I909" s="527"/>
      <c r="J909" s="527"/>
      <c r="K909" s="527"/>
      <c r="L909" s="527"/>
      <c r="M909" s="527"/>
    </row>
    <row r="910" spans="1:13">
      <c r="A910" s="527"/>
      <c r="B910" s="527"/>
      <c r="C910" s="527"/>
      <c r="D910" s="527"/>
      <c r="E910" s="527"/>
      <c r="F910" s="527"/>
      <c r="G910" s="527"/>
      <c r="H910" s="527"/>
      <c r="I910" s="527"/>
      <c r="J910" s="527"/>
      <c r="K910" s="527"/>
      <c r="L910" s="527"/>
      <c r="M910" s="527"/>
    </row>
    <row r="911" spans="1:13">
      <c r="A911" s="527"/>
      <c r="B911" s="527"/>
      <c r="C911" s="527"/>
      <c r="D911" s="527"/>
      <c r="E911" s="527"/>
      <c r="F911" s="527"/>
      <c r="G911" s="527"/>
      <c r="H911" s="527"/>
      <c r="I911" s="527"/>
      <c r="J911" s="527"/>
      <c r="K911" s="527"/>
      <c r="L911" s="527"/>
      <c r="M911" s="527"/>
    </row>
    <row r="912" spans="1:13">
      <c r="A912" s="527"/>
      <c r="B912" s="527"/>
      <c r="C912" s="527"/>
      <c r="D912" s="527"/>
      <c r="E912" s="527"/>
      <c r="F912" s="527"/>
      <c r="G912" s="527"/>
      <c r="H912" s="527"/>
      <c r="I912" s="527"/>
      <c r="J912" s="527"/>
      <c r="K912" s="527"/>
      <c r="L912" s="527"/>
      <c r="M912" s="527"/>
    </row>
    <row r="913" spans="1:13">
      <c r="A913" s="527"/>
      <c r="B913" s="527"/>
      <c r="C913" s="527"/>
      <c r="D913" s="527"/>
      <c r="E913" s="527"/>
      <c r="F913" s="527"/>
      <c r="G913" s="527"/>
      <c r="H913" s="527"/>
      <c r="I913" s="527"/>
      <c r="J913" s="527"/>
      <c r="K913" s="527"/>
      <c r="L913" s="527"/>
      <c r="M913" s="527"/>
    </row>
    <row r="914" spans="1:13">
      <c r="A914" s="527"/>
      <c r="B914" s="527"/>
      <c r="C914" s="527"/>
      <c r="D914" s="527"/>
      <c r="E914" s="527"/>
      <c r="F914" s="527"/>
      <c r="G914" s="527"/>
      <c r="H914" s="527"/>
      <c r="I914" s="527"/>
      <c r="J914" s="527"/>
      <c r="K914" s="527"/>
      <c r="L914" s="527"/>
      <c r="M914" s="527"/>
    </row>
    <row r="915" spans="1:13">
      <c r="A915" s="527"/>
      <c r="B915" s="527"/>
      <c r="C915" s="527"/>
      <c r="D915" s="527"/>
      <c r="E915" s="527"/>
      <c r="F915" s="527"/>
      <c r="G915" s="527"/>
      <c r="H915" s="527"/>
      <c r="I915" s="527"/>
      <c r="J915" s="527"/>
      <c r="K915" s="527"/>
      <c r="L915" s="527"/>
      <c r="M915" s="527"/>
    </row>
    <row r="916" spans="1:13">
      <c r="A916" s="527"/>
      <c r="B916" s="527"/>
      <c r="C916" s="527"/>
      <c r="D916" s="527"/>
      <c r="E916" s="527"/>
      <c r="F916" s="527"/>
      <c r="G916" s="527"/>
      <c r="H916" s="527"/>
      <c r="I916" s="527"/>
      <c r="J916" s="527"/>
      <c r="K916" s="527"/>
      <c r="L916" s="527"/>
      <c r="M916" s="527"/>
    </row>
    <row r="917" spans="1:13">
      <c r="A917" s="527"/>
      <c r="B917" s="527"/>
      <c r="C917" s="527"/>
      <c r="D917" s="527"/>
      <c r="E917" s="527"/>
      <c r="F917" s="527"/>
      <c r="G917" s="527"/>
      <c r="H917" s="527"/>
      <c r="I917" s="527"/>
      <c r="J917" s="527"/>
      <c r="K917" s="527"/>
      <c r="L917" s="527"/>
      <c r="M917" s="527"/>
    </row>
    <row r="918" spans="1:13">
      <c r="A918" s="527"/>
      <c r="B918" s="527"/>
      <c r="C918" s="527"/>
      <c r="D918" s="527"/>
      <c r="E918" s="527"/>
      <c r="F918" s="527"/>
      <c r="G918" s="527"/>
      <c r="H918" s="527"/>
      <c r="I918" s="527"/>
      <c r="J918" s="527"/>
      <c r="K918" s="527"/>
      <c r="L918" s="527"/>
      <c r="M918" s="527"/>
    </row>
    <row r="919" spans="1:13">
      <c r="A919" s="527"/>
      <c r="B919" s="527"/>
      <c r="C919" s="527"/>
      <c r="D919" s="527"/>
      <c r="E919" s="527"/>
      <c r="F919" s="527"/>
      <c r="G919" s="527"/>
      <c r="H919" s="527"/>
      <c r="I919" s="527"/>
      <c r="J919" s="527"/>
      <c r="K919" s="527"/>
      <c r="L919" s="527"/>
      <c r="M919" s="527"/>
    </row>
    <row r="920" spans="1:13">
      <c r="A920" s="527"/>
      <c r="B920" s="527"/>
      <c r="C920" s="527"/>
      <c r="D920" s="527"/>
      <c r="E920" s="527"/>
      <c r="F920" s="527"/>
      <c r="G920" s="527"/>
      <c r="H920" s="527"/>
      <c r="I920" s="527"/>
      <c r="J920" s="527"/>
      <c r="K920" s="527"/>
      <c r="L920" s="527"/>
      <c r="M920" s="527"/>
    </row>
    <row r="921" spans="1:13">
      <c r="A921" s="527"/>
      <c r="B921" s="527"/>
      <c r="C921" s="527"/>
      <c r="D921" s="527"/>
      <c r="E921" s="527"/>
      <c r="F921" s="527"/>
      <c r="G921" s="527"/>
      <c r="H921" s="527"/>
      <c r="I921" s="527"/>
      <c r="J921" s="527"/>
      <c r="K921" s="527"/>
      <c r="L921" s="527"/>
      <c r="M921" s="527"/>
    </row>
    <row r="922" spans="1:13">
      <c r="A922" s="527"/>
      <c r="B922" s="527"/>
      <c r="C922" s="527"/>
      <c r="D922" s="527"/>
      <c r="E922" s="527"/>
      <c r="F922" s="527"/>
      <c r="G922" s="527"/>
      <c r="H922" s="527"/>
      <c r="I922" s="527"/>
      <c r="J922" s="527"/>
      <c r="K922" s="527"/>
      <c r="L922" s="527"/>
      <c r="M922" s="527"/>
    </row>
    <row r="923" spans="1:13">
      <c r="A923" s="527"/>
      <c r="B923" s="527"/>
      <c r="C923" s="527"/>
      <c r="D923" s="527"/>
      <c r="E923" s="527"/>
      <c r="F923" s="527"/>
      <c r="G923" s="527"/>
      <c r="H923" s="527"/>
      <c r="I923" s="527"/>
      <c r="J923" s="527"/>
      <c r="K923" s="527"/>
      <c r="L923" s="527"/>
      <c r="M923" s="527"/>
    </row>
    <row r="924" spans="1:13">
      <c r="A924" s="527"/>
      <c r="B924" s="527"/>
      <c r="C924" s="527"/>
      <c r="D924" s="527"/>
      <c r="E924" s="527"/>
      <c r="F924" s="527"/>
      <c r="G924" s="527"/>
      <c r="H924" s="527"/>
      <c r="I924" s="527"/>
      <c r="J924" s="527"/>
      <c r="K924" s="527"/>
      <c r="L924" s="527"/>
      <c r="M924" s="527"/>
    </row>
    <row r="925" spans="1:13">
      <c r="A925" s="527"/>
      <c r="B925" s="527"/>
      <c r="C925" s="527"/>
      <c r="D925" s="527"/>
      <c r="E925" s="527"/>
      <c r="F925" s="527"/>
      <c r="G925" s="527"/>
      <c r="H925" s="527"/>
      <c r="I925" s="527"/>
      <c r="J925" s="527"/>
      <c r="K925" s="527"/>
      <c r="L925" s="527"/>
      <c r="M925" s="527"/>
    </row>
    <row r="926" spans="1:13">
      <c r="A926" s="527"/>
      <c r="B926" s="527"/>
      <c r="C926" s="527"/>
      <c r="D926" s="527"/>
      <c r="E926" s="527"/>
      <c r="F926" s="527"/>
      <c r="G926" s="527"/>
      <c r="H926" s="527"/>
      <c r="I926" s="527"/>
      <c r="J926" s="527"/>
      <c r="K926" s="527"/>
      <c r="L926" s="527"/>
      <c r="M926" s="527"/>
    </row>
    <row r="927" spans="1:13">
      <c r="A927" s="527"/>
      <c r="B927" s="527"/>
      <c r="C927" s="527"/>
      <c r="D927" s="527"/>
      <c r="E927" s="527"/>
      <c r="F927" s="527"/>
      <c r="G927" s="527"/>
      <c r="H927" s="527"/>
      <c r="I927" s="527"/>
      <c r="J927" s="527"/>
      <c r="K927" s="527"/>
      <c r="L927" s="527"/>
      <c r="M927" s="527"/>
    </row>
    <row r="928" spans="1:13">
      <c r="A928" s="527"/>
      <c r="B928" s="527"/>
      <c r="C928" s="527"/>
      <c r="D928" s="527"/>
      <c r="E928" s="527"/>
      <c r="F928" s="527"/>
      <c r="G928" s="527"/>
      <c r="H928" s="527"/>
      <c r="I928" s="527"/>
      <c r="J928" s="527"/>
      <c r="K928" s="527"/>
      <c r="L928" s="527"/>
      <c r="M928" s="527"/>
    </row>
    <row r="929" spans="1:13">
      <c r="A929" s="527"/>
      <c r="B929" s="527"/>
      <c r="C929" s="527"/>
      <c r="D929" s="527"/>
      <c r="E929" s="527"/>
      <c r="F929" s="527"/>
      <c r="G929" s="527"/>
      <c r="H929" s="527"/>
      <c r="I929" s="527"/>
      <c r="J929" s="527"/>
      <c r="K929" s="527"/>
      <c r="L929" s="527"/>
      <c r="M929" s="527"/>
    </row>
    <row r="930" spans="1:13">
      <c r="A930" s="527"/>
      <c r="B930" s="527"/>
      <c r="C930" s="527"/>
      <c r="D930" s="527"/>
      <c r="E930" s="527"/>
      <c r="F930" s="527"/>
      <c r="G930" s="527"/>
      <c r="H930" s="527"/>
      <c r="I930" s="527"/>
      <c r="J930" s="527"/>
      <c r="K930" s="527"/>
      <c r="L930" s="527"/>
      <c r="M930" s="527"/>
    </row>
    <row r="931" spans="1:13">
      <c r="A931" s="527"/>
      <c r="B931" s="527"/>
      <c r="C931" s="527"/>
      <c r="D931" s="527"/>
      <c r="E931" s="527"/>
      <c r="F931" s="527"/>
      <c r="G931" s="527"/>
      <c r="H931" s="527"/>
      <c r="I931" s="527"/>
      <c r="J931" s="527"/>
      <c r="K931" s="527"/>
      <c r="L931" s="527"/>
      <c r="M931" s="527"/>
    </row>
    <row r="932" spans="1:13">
      <c r="A932" s="527"/>
      <c r="B932" s="527"/>
      <c r="C932" s="527"/>
      <c r="D932" s="527"/>
      <c r="E932" s="527"/>
      <c r="F932" s="527"/>
      <c r="G932" s="527"/>
      <c r="H932" s="527"/>
      <c r="I932" s="527"/>
      <c r="J932" s="527"/>
      <c r="K932" s="527"/>
      <c r="L932" s="527"/>
      <c r="M932" s="527"/>
    </row>
    <row r="933" spans="1:13">
      <c r="A933" s="527"/>
      <c r="B933" s="527"/>
      <c r="C933" s="527"/>
      <c r="D933" s="527"/>
      <c r="E933" s="527"/>
      <c r="F933" s="527"/>
      <c r="G933" s="527"/>
      <c r="H933" s="527"/>
      <c r="I933" s="527"/>
      <c r="J933" s="527"/>
      <c r="K933" s="527"/>
      <c r="L933" s="527"/>
      <c r="M933" s="527"/>
    </row>
    <row r="934" spans="1:13">
      <c r="A934" s="527"/>
      <c r="B934" s="527"/>
      <c r="C934" s="527"/>
      <c r="D934" s="527"/>
      <c r="E934" s="527"/>
      <c r="F934" s="527"/>
      <c r="G934" s="527"/>
      <c r="H934" s="527"/>
      <c r="I934" s="527"/>
      <c r="J934" s="527"/>
      <c r="K934" s="527"/>
      <c r="L934" s="527"/>
      <c r="M934" s="527"/>
    </row>
    <row r="935" spans="1:13">
      <c r="A935" s="527"/>
      <c r="B935" s="527"/>
      <c r="C935" s="527"/>
      <c r="D935" s="527"/>
      <c r="E935" s="527"/>
      <c r="F935" s="527"/>
      <c r="G935" s="527"/>
      <c r="H935" s="527"/>
      <c r="I935" s="527"/>
      <c r="J935" s="527"/>
      <c r="K935" s="527"/>
      <c r="L935" s="527"/>
      <c r="M935" s="527"/>
    </row>
    <row r="936" spans="1:13">
      <c r="A936" s="527"/>
      <c r="B936" s="527"/>
      <c r="C936" s="527"/>
      <c r="D936" s="527"/>
      <c r="E936" s="527"/>
      <c r="F936" s="527"/>
      <c r="G936" s="527"/>
      <c r="H936" s="527"/>
      <c r="I936" s="527"/>
      <c r="J936" s="527"/>
      <c r="K936" s="527"/>
      <c r="L936" s="527"/>
      <c r="M936" s="527"/>
    </row>
    <row r="937" spans="1:13">
      <c r="A937" s="527"/>
      <c r="B937" s="527"/>
      <c r="C937" s="527"/>
      <c r="D937" s="527"/>
      <c r="E937" s="527"/>
      <c r="F937" s="527"/>
      <c r="G937" s="527"/>
      <c r="H937" s="527"/>
      <c r="I937" s="527"/>
      <c r="J937" s="527"/>
      <c r="K937" s="527"/>
      <c r="L937" s="527"/>
      <c r="M937" s="527"/>
    </row>
    <row r="938" spans="1:13">
      <c r="A938" s="527"/>
      <c r="B938" s="527"/>
      <c r="C938" s="527"/>
      <c r="D938" s="527"/>
      <c r="E938" s="527"/>
      <c r="F938" s="527"/>
      <c r="G938" s="527"/>
      <c r="H938" s="527"/>
      <c r="I938" s="527"/>
      <c r="J938" s="527"/>
      <c r="K938" s="527"/>
      <c r="L938" s="527"/>
      <c r="M938" s="527"/>
    </row>
    <row r="939" spans="1:13">
      <c r="A939" s="527"/>
      <c r="B939" s="527"/>
      <c r="C939" s="527"/>
      <c r="D939" s="527"/>
      <c r="E939" s="527"/>
      <c r="F939" s="527"/>
      <c r="G939" s="527"/>
      <c r="H939" s="527"/>
      <c r="I939" s="527"/>
      <c r="J939" s="527"/>
      <c r="K939" s="527"/>
      <c r="L939" s="527"/>
      <c r="M939" s="527"/>
    </row>
    <row r="940" spans="1:13">
      <c r="A940" s="527"/>
      <c r="B940" s="527"/>
      <c r="C940" s="527"/>
      <c r="D940" s="527"/>
      <c r="E940" s="527"/>
      <c r="F940" s="527"/>
      <c r="G940" s="527"/>
      <c r="H940" s="527"/>
      <c r="I940" s="527"/>
      <c r="J940" s="527"/>
      <c r="K940" s="527"/>
      <c r="L940" s="527"/>
      <c r="M940" s="527"/>
    </row>
    <row r="941" spans="1:13">
      <c r="A941" s="527"/>
      <c r="B941" s="527"/>
      <c r="C941" s="527"/>
      <c r="D941" s="527"/>
      <c r="E941" s="527"/>
      <c r="F941" s="527"/>
      <c r="G941" s="527"/>
      <c r="H941" s="527"/>
      <c r="I941" s="527"/>
      <c r="J941" s="527"/>
      <c r="K941" s="527"/>
      <c r="L941" s="527"/>
      <c r="M941" s="527"/>
    </row>
    <row r="942" spans="1:13">
      <c r="A942" s="527"/>
      <c r="B942" s="527"/>
      <c r="C942" s="527"/>
      <c r="D942" s="527"/>
      <c r="E942" s="527"/>
      <c r="F942" s="527"/>
      <c r="G942" s="527"/>
      <c r="H942" s="527"/>
      <c r="I942" s="527"/>
      <c r="J942" s="527"/>
      <c r="K942" s="527"/>
      <c r="L942" s="527"/>
      <c r="M942" s="527"/>
    </row>
    <row r="943" spans="1:13">
      <c r="A943" s="527"/>
      <c r="B943" s="527"/>
      <c r="C943" s="527"/>
      <c r="D943" s="527"/>
      <c r="E943" s="527"/>
      <c r="F943" s="527"/>
      <c r="G943" s="527"/>
      <c r="H943" s="527"/>
      <c r="I943" s="527"/>
      <c r="J943" s="527"/>
      <c r="K943" s="527"/>
      <c r="L943" s="527"/>
      <c r="M943" s="527"/>
    </row>
    <row r="944" spans="1:13">
      <c r="A944" s="527"/>
      <c r="B944" s="527"/>
      <c r="C944" s="527"/>
      <c r="D944" s="527"/>
      <c r="E944" s="527"/>
      <c r="F944" s="527"/>
      <c r="G944" s="527"/>
      <c r="H944" s="527"/>
      <c r="I944" s="527"/>
      <c r="J944" s="527"/>
      <c r="K944" s="527"/>
      <c r="L944" s="527"/>
      <c r="M944" s="527"/>
    </row>
    <row r="945" spans="1:13">
      <c r="A945" s="527"/>
      <c r="B945" s="527"/>
      <c r="C945" s="527"/>
      <c r="D945" s="527"/>
      <c r="E945" s="527"/>
      <c r="F945" s="527"/>
      <c r="G945" s="527"/>
      <c r="H945" s="527"/>
      <c r="I945" s="527"/>
      <c r="J945" s="527"/>
      <c r="K945" s="527"/>
      <c r="L945" s="527"/>
      <c r="M945" s="527"/>
    </row>
    <row r="946" spans="1:13">
      <c r="A946" s="527"/>
      <c r="B946" s="527"/>
      <c r="C946" s="527"/>
      <c r="D946" s="527"/>
      <c r="E946" s="527"/>
      <c r="F946" s="527"/>
      <c r="G946" s="527"/>
      <c r="H946" s="527"/>
      <c r="I946" s="527"/>
      <c r="J946" s="527"/>
      <c r="K946" s="527"/>
      <c r="L946" s="527"/>
      <c r="M946" s="527"/>
    </row>
    <row r="947" spans="1:13">
      <c r="A947" s="527"/>
      <c r="B947" s="527"/>
      <c r="C947" s="527"/>
      <c r="D947" s="527"/>
      <c r="E947" s="527"/>
      <c r="F947" s="527"/>
      <c r="G947" s="527"/>
      <c r="H947" s="527"/>
      <c r="I947" s="527"/>
      <c r="J947" s="527"/>
      <c r="K947" s="527"/>
      <c r="L947" s="527"/>
      <c r="M947" s="527"/>
    </row>
    <row r="948" spans="1:13">
      <c r="A948" s="527"/>
      <c r="B948" s="527"/>
      <c r="C948" s="527"/>
      <c r="D948" s="527"/>
      <c r="E948" s="527"/>
      <c r="F948" s="527"/>
      <c r="G948" s="527"/>
      <c r="H948" s="527"/>
      <c r="I948" s="527"/>
      <c r="J948" s="527"/>
      <c r="K948" s="527"/>
      <c r="L948" s="527"/>
      <c r="M948" s="527"/>
    </row>
    <row r="949" spans="1:13">
      <c r="A949" s="527"/>
      <c r="B949" s="527"/>
      <c r="C949" s="527"/>
      <c r="D949" s="527"/>
      <c r="E949" s="527"/>
      <c r="F949" s="527"/>
      <c r="G949" s="527"/>
      <c r="H949" s="527"/>
      <c r="I949" s="527"/>
      <c r="J949" s="527"/>
      <c r="K949" s="527"/>
      <c r="L949" s="527"/>
      <c r="M949" s="527"/>
    </row>
    <row r="950" spans="1:13">
      <c r="A950" s="527"/>
      <c r="B950" s="527"/>
      <c r="C950" s="527"/>
      <c r="D950" s="527"/>
      <c r="E950" s="527"/>
      <c r="F950" s="527"/>
      <c r="G950" s="527"/>
      <c r="H950" s="527"/>
      <c r="I950" s="527"/>
      <c r="J950" s="527"/>
      <c r="K950" s="527"/>
      <c r="L950" s="527"/>
      <c r="M950" s="527"/>
    </row>
    <row r="951" spans="1:13">
      <c r="A951" s="527"/>
      <c r="B951" s="527"/>
      <c r="C951" s="527"/>
      <c r="D951" s="527"/>
      <c r="E951" s="527"/>
      <c r="F951" s="527"/>
      <c r="G951" s="527"/>
      <c r="H951" s="527"/>
      <c r="I951" s="527"/>
      <c r="J951" s="527"/>
      <c r="K951" s="527"/>
      <c r="L951" s="527"/>
      <c r="M951" s="527"/>
    </row>
    <row r="952" spans="1:13">
      <c r="A952" s="527"/>
      <c r="B952" s="527"/>
      <c r="C952" s="527"/>
      <c r="D952" s="527"/>
      <c r="E952" s="527"/>
      <c r="F952" s="527"/>
      <c r="G952" s="527"/>
      <c r="H952" s="527"/>
      <c r="I952" s="527"/>
      <c r="J952" s="527"/>
      <c r="K952" s="527"/>
      <c r="L952" s="527"/>
      <c r="M952" s="527"/>
    </row>
    <row r="953" spans="1:13">
      <c r="A953" s="527"/>
      <c r="B953" s="527"/>
      <c r="C953" s="527"/>
      <c r="D953" s="527"/>
      <c r="E953" s="527"/>
      <c r="F953" s="527"/>
      <c r="G953" s="527"/>
      <c r="H953" s="527"/>
      <c r="I953" s="527"/>
      <c r="J953" s="527"/>
      <c r="K953" s="527"/>
      <c r="L953" s="527"/>
      <c r="M953" s="527"/>
    </row>
    <row r="954" spans="1:13">
      <c r="A954" s="527"/>
      <c r="B954" s="527"/>
      <c r="C954" s="527"/>
      <c r="D954" s="527"/>
      <c r="E954" s="527"/>
      <c r="F954" s="527"/>
      <c r="G954" s="527"/>
      <c r="H954" s="527"/>
      <c r="I954" s="527"/>
      <c r="J954" s="527"/>
      <c r="K954" s="527"/>
      <c r="L954" s="527"/>
      <c r="M954" s="527"/>
    </row>
    <row r="955" spans="1:13">
      <c r="A955" s="527"/>
      <c r="B955" s="527"/>
      <c r="C955" s="527"/>
      <c r="D955" s="527"/>
      <c r="E955" s="527"/>
      <c r="F955" s="527"/>
      <c r="G955" s="527"/>
      <c r="H955" s="527"/>
      <c r="I955" s="527"/>
      <c r="J955" s="527"/>
      <c r="K955" s="527"/>
      <c r="L955" s="527"/>
      <c r="M955" s="527"/>
    </row>
    <row r="956" spans="1:13">
      <c r="A956" s="527"/>
      <c r="B956" s="527"/>
      <c r="C956" s="527"/>
      <c r="D956" s="527"/>
      <c r="E956" s="527"/>
      <c r="F956" s="527"/>
      <c r="G956" s="527"/>
      <c r="H956" s="527"/>
      <c r="I956" s="527"/>
      <c r="J956" s="527"/>
      <c r="K956" s="527"/>
      <c r="L956" s="527"/>
      <c r="M956" s="527"/>
    </row>
    <row r="957" spans="1:13">
      <c r="A957" s="527"/>
      <c r="B957" s="527"/>
      <c r="C957" s="527"/>
      <c r="D957" s="527"/>
      <c r="E957" s="527"/>
      <c r="F957" s="527"/>
      <c r="G957" s="527"/>
      <c r="H957" s="527"/>
      <c r="I957" s="527"/>
      <c r="J957" s="527"/>
      <c r="K957" s="527"/>
      <c r="L957" s="527"/>
      <c r="M957" s="527"/>
    </row>
    <row r="958" spans="1:13">
      <c r="A958" s="527"/>
      <c r="B958" s="527"/>
      <c r="C958" s="527"/>
      <c r="D958" s="527"/>
      <c r="E958" s="527"/>
      <c r="F958" s="527"/>
      <c r="G958" s="527"/>
      <c r="H958" s="527"/>
      <c r="I958" s="527"/>
      <c r="J958" s="527"/>
      <c r="K958" s="527"/>
      <c r="L958" s="527"/>
      <c r="M958" s="527"/>
    </row>
    <row r="959" spans="1:13">
      <c r="A959" s="527"/>
      <c r="B959" s="527"/>
      <c r="C959" s="527"/>
      <c r="D959" s="527"/>
      <c r="E959" s="527"/>
      <c r="F959" s="527"/>
      <c r="G959" s="527"/>
      <c r="H959" s="527"/>
      <c r="I959" s="527"/>
      <c r="J959" s="527"/>
      <c r="K959" s="527"/>
      <c r="L959" s="527"/>
      <c r="M959" s="527"/>
    </row>
    <row r="960" spans="1:13">
      <c r="A960" s="527"/>
      <c r="B960" s="527"/>
      <c r="C960" s="527"/>
      <c r="D960" s="527"/>
      <c r="E960" s="527"/>
      <c r="F960" s="527"/>
      <c r="G960" s="527"/>
      <c r="H960" s="527"/>
      <c r="I960" s="527"/>
      <c r="J960" s="527"/>
      <c r="K960" s="527"/>
      <c r="L960" s="527"/>
      <c r="M960" s="527"/>
    </row>
    <row r="961" spans="1:13">
      <c r="A961" s="527"/>
      <c r="B961" s="527"/>
      <c r="C961" s="527"/>
      <c r="D961" s="527"/>
      <c r="E961" s="527"/>
      <c r="F961" s="527"/>
      <c r="G961" s="527"/>
      <c r="H961" s="527"/>
      <c r="I961" s="527"/>
      <c r="J961" s="527"/>
      <c r="K961" s="527"/>
      <c r="L961" s="527"/>
      <c r="M961" s="527"/>
    </row>
    <row r="962" spans="1:13">
      <c r="A962" s="527"/>
      <c r="B962" s="527"/>
      <c r="C962" s="527"/>
      <c r="D962" s="527"/>
      <c r="E962" s="527"/>
      <c r="F962" s="527"/>
      <c r="G962" s="527"/>
      <c r="H962" s="527"/>
      <c r="I962" s="527"/>
      <c r="J962" s="527"/>
      <c r="K962" s="527"/>
      <c r="L962" s="527"/>
      <c r="M962" s="527"/>
    </row>
    <row r="963" spans="1:13">
      <c r="A963" s="527"/>
      <c r="B963" s="527"/>
      <c r="C963" s="527"/>
      <c r="D963" s="527"/>
      <c r="E963" s="527"/>
      <c r="F963" s="527"/>
      <c r="G963" s="527"/>
      <c r="H963" s="527"/>
      <c r="I963" s="527"/>
      <c r="J963" s="527"/>
      <c r="K963" s="527"/>
      <c r="L963" s="527"/>
      <c r="M963" s="527"/>
    </row>
    <row r="964" spans="1:13">
      <c r="A964" s="527"/>
      <c r="B964" s="527"/>
      <c r="C964" s="527"/>
      <c r="D964" s="527"/>
      <c r="E964" s="527"/>
      <c r="F964" s="527"/>
      <c r="G964" s="527"/>
      <c r="H964" s="527"/>
      <c r="I964" s="527"/>
      <c r="J964" s="527"/>
      <c r="K964" s="527"/>
      <c r="L964" s="527"/>
      <c r="M964" s="527"/>
    </row>
    <row r="965" spans="1:13">
      <c r="A965" s="527"/>
      <c r="B965" s="527"/>
      <c r="C965" s="527"/>
      <c r="D965" s="527"/>
      <c r="E965" s="527"/>
      <c r="F965" s="527"/>
      <c r="G965" s="527"/>
      <c r="H965" s="527"/>
      <c r="I965" s="527"/>
      <c r="J965" s="527"/>
      <c r="K965" s="527"/>
      <c r="L965" s="527"/>
      <c r="M965" s="527"/>
    </row>
    <row r="966" spans="1:13">
      <c r="A966" s="527"/>
      <c r="B966" s="527"/>
      <c r="C966" s="527"/>
      <c r="D966" s="527"/>
      <c r="E966" s="527"/>
      <c r="F966" s="527"/>
      <c r="G966" s="527"/>
      <c r="H966" s="527"/>
      <c r="I966" s="527"/>
      <c r="J966" s="527"/>
      <c r="K966" s="527"/>
      <c r="L966" s="527"/>
      <c r="M966" s="527"/>
    </row>
    <row r="967" spans="1:13">
      <c r="A967" s="527"/>
      <c r="B967" s="527"/>
      <c r="C967" s="527"/>
      <c r="D967" s="527"/>
      <c r="E967" s="527"/>
      <c r="F967" s="527"/>
      <c r="G967" s="527"/>
      <c r="H967" s="527"/>
      <c r="I967" s="527"/>
      <c r="J967" s="527"/>
      <c r="K967" s="527"/>
      <c r="L967" s="527"/>
      <c r="M967" s="527"/>
    </row>
    <row r="968" spans="1:13">
      <c r="A968" s="527"/>
      <c r="B968" s="527"/>
      <c r="C968" s="527"/>
      <c r="D968" s="527"/>
      <c r="E968" s="527"/>
      <c r="F968" s="527"/>
      <c r="G968" s="527"/>
      <c r="H968" s="527"/>
      <c r="I968" s="527"/>
      <c r="J968" s="527"/>
      <c r="K968" s="527"/>
      <c r="L968" s="527"/>
      <c r="M968" s="527"/>
    </row>
    <row r="969" spans="1:13">
      <c r="A969" s="527"/>
      <c r="B969" s="527"/>
      <c r="C969" s="527"/>
      <c r="D969" s="527"/>
      <c r="E969" s="527"/>
      <c r="F969" s="527"/>
      <c r="G969" s="527"/>
      <c r="H969" s="527"/>
      <c r="I969" s="527"/>
      <c r="J969" s="527"/>
      <c r="K969" s="527"/>
      <c r="L969" s="527"/>
      <c r="M969" s="527"/>
    </row>
    <row r="970" spans="1:13">
      <c r="A970" s="527"/>
      <c r="B970" s="527"/>
      <c r="C970" s="527"/>
      <c r="D970" s="527"/>
      <c r="E970" s="527"/>
      <c r="F970" s="527"/>
      <c r="G970" s="527"/>
      <c r="H970" s="527"/>
      <c r="I970" s="527"/>
      <c r="J970" s="527"/>
      <c r="K970" s="527"/>
      <c r="L970" s="527"/>
      <c r="M970" s="527"/>
    </row>
    <row r="971" spans="1:13">
      <c r="A971" s="527"/>
      <c r="B971" s="527"/>
      <c r="C971" s="527"/>
      <c r="D971" s="527"/>
      <c r="E971" s="527"/>
      <c r="F971" s="527"/>
      <c r="G971" s="527"/>
      <c r="H971" s="527"/>
      <c r="I971" s="527"/>
      <c r="J971" s="527"/>
      <c r="K971" s="527"/>
      <c r="L971" s="527"/>
      <c r="M971" s="527"/>
    </row>
    <row r="972" spans="1:13">
      <c r="A972" s="527"/>
      <c r="B972" s="527"/>
      <c r="C972" s="527"/>
      <c r="D972" s="527"/>
      <c r="E972" s="527"/>
      <c r="F972" s="527"/>
      <c r="G972" s="527"/>
      <c r="H972" s="527"/>
      <c r="I972" s="527"/>
      <c r="J972" s="527"/>
      <c r="K972" s="527"/>
      <c r="L972" s="527"/>
      <c r="M972" s="527"/>
    </row>
  </sheetData>
  <mergeCells count="265">
    <mergeCell ref="G534:I542"/>
    <mergeCell ref="A673:A674"/>
    <mergeCell ref="A486:M486"/>
    <mergeCell ref="B533:C533"/>
    <mergeCell ref="B497:C497"/>
    <mergeCell ref="D497:E497"/>
    <mergeCell ref="F497:G497"/>
    <mergeCell ref="H497:I497"/>
    <mergeCell ref="J497:K497"/>
    <mergeCell ref="B499:C499"/>
    <mergeCell ref="D499:E499"/>
    <mergeCell ref="F499:G499"/>
    <mergeCell ref="H499:I499"/>
    <mergeCell ref="H498:I498"/>
    <mergeCell ref="J498:L507"/>
    <mergeCell ref="D533:E533"/>
    <mergeCell ref="A532:E532"/>
    <mergeCell ref="B521:C521"/>
    <mergeCell ref="D521:E521"/>
    <mergeCell ref="F521:G521"/>
    <mergeCell ref="H521:I521"/>
    <mergeCell ref="J521:K521"/>
    <mergeCell ref="L521:M521"/>
    <mergeCell ref="B473:C473"/>
    <mergeCell ref="D473:E473"/>
    <mergeCell ref="F473:G473"/>
    <mergeCell ref="H473:I473"/>
    <mergeCell ref="J473:K473"/>
    <mergeCell ref="L473:M473"/>
    <mergeCell ref="C429:C430"/>
    <mergeCell ref="A484:J485"/>
    <mergeCell ref="B442:C442"/>
    <mergeCell ref="D442:E442"/>
    <mergeCell ref="F442:G442"/>
    <mergeCell ref="H442:I442"/>
    <mergeCell ref="J442:K442"/>
    <mergeCell ref="L442:M442"/>
    <mergeCell ref="B453:C453"/>
    <mergeCell ref="D453:E453"/>
    <mergeCell ref="F453:G453"/>
    <mergeCell ref="H453:I453"/>
    <mergeCell ref="J453:K453"/>
    <mergeCell ref="A273:C273"/>
    <mergeCell ref="D332:G332"/>
    <mergeCell ref="A333:C333"/>
    <mergeCell ref="A334:C334"/>
    <mergeCell ref="A335:C335"/>
    <mergeCell ref="A336:C336"/>
    <mergeCell ref="A337:C337"/>
    <mergeCell ref="A338:C338"/>
    <mergeCell ref="A339:C339"/>
    <mergeCell ref="A295:H298"/>
    <mergeCell ref="D280:G280"/>
    <mergeCell ref="A299:H302"/>
    <mergeCell ref="A304:H306"/>
    <mergeCell ref="A283:C283"/>
    <mergeCell ref="A284:C284"/>
    <mergeCell ref="A285:C285"/>
    <mergeCell ref="A286:C286"/>
    <mergeCell ref="A287:C287"/>
    <mergeCell ref="A266:C266"/>
    <mergeCell ref="A267:C267"/>
    <mergeCell ref="A268:C268"/>
    <mergeCell ref="A269:C269"/>
    <mergeCell ref="K269:N269"/>
    <mergeCell ref="A270:C270"/>
    <mergeCell ref="K270:N270"/>
    <mergeCell ref="A271:C271"/>
    <mergeCell ref="A272:C272"/>
    <mergeCell ref="L260:N260"/>
    <mergeCell ref="P260:P261"/>
    <mergeCell ref="Q260:T260"/>
    <mergeCell ref="U260:X260"/>
    <mergeCell ref="A261:C261"/>
    <mergeCell ref="A262:C262"/>
    <mergeCell ref="A263:C263"/>
    <mergeCell ref="A264:C264"/>
    <mergeCell ref="A265:C265"/>
    <mergeCell ref="A419:J426"/>
    <mergeCell ref="A408:J409"/>
    <mergeCell ref="H363:H364"/>
    <mergeCell ref="A410:J411"/>
    <mergeCell ref="A414:J415"/>
    <mergeCell ref="A417:J418"/>
    <mergeCell ref="F363:F364"/>
    <mergeCell ref="G363:G364"/>
    <mergeCell ref="A401:J402"/>
    <mergeCell ref="A403:J403"/>
    <mergeCell ref="A404:J407"/>
    <mergeCell ref="A363:A364"/>
    <mergeCell ref="B363:B364"/>
    <mergeCell ref="C363:C364"/>
    <mergeCell ref="D363:D364"/>
    <mergeCell ref="E363:E364"/>
    <mergeCell ref="A352:I355"/>
    <mergeCell ref="A357:I359"/>
    <mergeCell ref="A361:A362"/>
    <mergeCell ref="B361:B362"/>
    <mergeCell ref="D361:H362"/>
    <mergeCell ref="A316:I318"/>
    <mergeCell ref="A320:A321"/>
    <mergeCell ref="B320:E320"/>
    <mergeCell ref="F320:I320"/>
    <mergeCell ref="A325:A326"/>
    <mergeCell ref="B325:E325"/>
    <mergeCell ref="A340:C340"/>
    <mergeCell ref="A341:C341"/>
    <mergeCell ref="A342:C342"/>
    <mergeCell ref="A343:C343"/>
    <mergeCell ref="A344:C344"/>
    <mergeCell ref="A345:C345"/>
    <mergeCell ref="A250:I251"/>
    <mergeCell ref="A276:I277"/>
    <mergeCell ref="A281:C281"/>
    <mergeCell ref="A282:C282"/>
    <mergeCell ref="F236:H236"/>
    <mergeCell ref="A242:I247"/>
    <mergeCell ref="F231:H231"/>
    <mergeCell ref="F232:H232"/>
    <mergeCell ref="F233:H233"/>
    <mergeCell ref="F234:H234"/>
    <mergeCell ref="F235:H235"/>
    <mergeCell ref="D233:E233"/>
    <mergeCell ref="D234:E234"/>
    <mergeCell ref="D235:E235"/>
    <mergeCell ref="D236:E236"/>
    <mergeCell ref="D230:E231"/>
    <mergeCell ref="B230:C231"/>
    <mergeCell ref="B232:C232"/>
    <mergeCell ref="B233:C233"/>
    <mergeCell ref="B234:C236"/>
    <mergeCell ref="D232:E232"/>
    <mergeCell ref="F230:H230"/>
    <mergeCell ref="A253:I254"/>
    <mergeCell ref="D260:G260"/>
    <mergeCell ref="A220:I221"/>
    <mergeCell ref="C188:D188"/>
    <mergeCell ref="A195:J197"/>
    <mergeCell ref="A176:C176"/>
    <mergeCell ref="F176:G176"/>
    <mergeCell ref="I176:J176"/>
    <mergeCell ref="A181:B181"/>
    <mergeCell ref="A182:B182"/>
    <mergeCell ref="A178:D178"/>
    <mergeCell ref="F178:I178"/>
    <mergeCell ref="F179:G179"/>
    <mergeCell ref="F180:G180"/>
    <mergeCell ref="F181:G181"/>
    <mergeCell ref="F182:G182"/>
    <mergeCell ref="A179:B179"/>
    <mergeCell ref="A209:J212"/>
    <mergeCell ref="A222:I226"/>
    <mergeCell ref="A180:B180"/>
    <mergeCell ref="A146:J147"/>
    <mergeCell ref="D162:I166"/>
    <mergeCell ref="A102:I103"/>
    <mergeCell ref="A2:J2"/>
    <mergeCell ref="A105:J110"/>
    <mergeCell ref="A111:J116"/>
    <mergeCell ref="A91:C92"/>
    <mergeCell ref="A93:C93"/>
    <mergeCell ref="A94:C94"/>
    <mergeCell ref="A95:C95"/>
    <mergeCell ref="A96:C96"/>
    <mergeCell ref="A97:C97"/>
    <mergeCell ref="A98:C98"/>
    <mergeCell ref="A99:C99"/>
    <mergeCell ref="A79:C79"/>
    <mergeCell ref="A80:C80"/>
    <mergeCell ref="A81:C81"/>
    <mergeCell ref="A82:C82"/>
    <mergeCell ref="A86:J88"/>
    <mergeCell ref="A70:B70"/>
    <mergeCell ref="I175:J175"/>
    <mergeCell ref="A216:C216"/>
    <mergeCell ref="A175:C175"/>
    <mergeCell ref="A77:C77"/>
    <mergeCell ref="A78:C78"/>
    <mergeCell ref="A65:B65"/>
    <mergeCell ref="A66:B66"/>
    <mergeCell ref="A67:B67"/>
    <mergeCell ref="A68:B68"/>
    <mergeCell ref="A69:B69"/>
    <mergeCell ref="A168:J174"/>
    <mergeCell ref="A84:J84"/>
    <mergeCell ref="F175:G175"/>
    <mergeCell ref="D135:H139"/>
    <mergeCell ref="A63:B63"/>
    <mergeCell ref="A64:B64"/>
    <mergeCell ref="B54:D54"/>
    <mergeCell ref="B55:D55"/>
    <mergeCell ref="B56:D56"/>
    <mergeCell ref="B57:D57"/>
    <mergeCell ref="B58:D58"/>
    <mergeCell ref="A71:B71"/>
    <mergeCell ref="A76:C76"/>
    <mergeCell ref="A3:J12"/>
    <mergeCell ref="B14:C14"/>
    <mergeCell ref="B15:C15"/>
    <mergeCell ref="B16:C16"/>
    <mergeCell ref="A19:J20"/>
    <mergeCell ref="A28:B28"/>
    <mergeCell ref="B59:D59"/>
    <mergeCell ref="B60:D60"/>
    <mergeCell ref="E51:E52"/>
    <mergeCell ref="A29:B29"/>
    <mergeCell ref="A27:C27"/>
    <mergeCell ref="A23:B23"/>
    <mergeCell ref="A24:B24"/>
    <mergeCell ref="A25:B25"/>
    <mergeCell ref="A45:J48"/>
    <mergeCell ref="B51:D52"/>
    <mergeCell ref="B53:D53"/>
    <mergeCell ref="D32:E32"/>
    <mergeCell ref="B32:C32"/>
    <mergeCell ref="A37:J44"/>
    <mergeCell ref="F23:G23"/>
    <mergeCell ref="F24:G24"/>
    <mergeCell ref="F25:G25"/>
    <mergeCell ref="A884:A885"/>
    <mergeCell ref="F869:G869"/>
    <mergeCell ref="J754:M754"/>
    <mergeCell ref="A755:A756"/>
    <mergeCell ref="A544:L552"/>
    <mergeCell ref="A638:F638"/>
    <mergeCell ref="D731:D732"/>
    <mergeCell ref="E731:E732"/>
    <mergeCell ref="F731:F732"/>
    <mergeCell ref="G731:G732"/>
    <mergeCell ref="H731:H732"/>
    <mergeCell ref="I731:I732"/>
    <mergeCell ref="A740:E740"/>
    <mergeCell ref="F740:I740"/>
    <mergeCell ref="B754:E754"/>
    <mergeCell ref="F754:I754"/>
    <mergeCell ref="A671:J671"/>
    <mergeCell ref="A685:J685"/>
    <mergeCell ref="A687:C687"/>
    <mergeCell ref="A809:J812"/>
    <mergeCell ref="A815:A816"/>
    <mergeCell ref="D815:D816"/>
    <mergeCell ref="J253:R254"/>
    <mergeCell ref="S253:X254"/>
    <mergeCell ref="J276:R277"/>
    <mergeCell ref="S276:X277"/>
    <mergeCell ref="A428:B433"/>
    <mergeCell ref="A869:E869"/>
    <mergeCell ref="B883:E883"/>
    <mergeCell ref="F883:I883"/>
    <mergeCell ref="J883:M883"/>
    <mergeCell ref="P280:P281"/>
    <mergeCell ref="Q280:T280"/>
    <mergeCell ref="U280:X280"/>
    <mergeCell ref="P295:P296"/>
    <mergeCell ref="Q295:T295"/>
    <mergeCell ref="U295:Y295"/>
    <mergeCell ref="A293:C293"/>
    <mergeCell ref="L280:N280"/>
    <mergeCell ref="K289:N289"/>
    <mergeCell ref="K290:N290"/>
    <mergeCell ref="A288:C288"/>
    <mergeCell ref="A289:C289"/>
    <mergeCell ref="A290:C290"/>
    <mergeCell ref="A291:C291"/>
    <mergeCell ref="A292:C292"/>
  </mergeCells>
  <pageMargins left="0.511811024" right="0.511811024" top="0.78740157499999996" bottom="0.78740157499999996" header="0.31496062000000002" footer="0.31496062000000002"/>
  <pageSetup paperSize="9" scale="74" orientation="portrait" r:id="rId1"/>
  <colBreaks count="1" manualBreakCount="1">
    <brk id="10" max="1048575" man="1"/>
  </colBreaks>
  <ignoredErrors>
    <ignoredError sqref="D489:D496 B757:B766 B886:B895" formula="1"/>
  </ignoredError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A1:AK545"/>
  <sheetViews>
    <sheetView zoomScale="80" zoomScaleNormal="80" workbookViewId="0">
      <selection activeCell="A368" sqref="A368"/>
    </sheetView>
  </sheetViews>
  <sheetFormatPr defaultColWidth="8.85546875" defaultRowHeight="15"/>
  <cols>
    <col min="1" max="1" width="23.42578125" style="49" customWidth="1"/>
    <col min="2" max="2" width="15.28515625" style="49" customWidth="1"/>
    <col min="3" max="3" width="15.28515625" style="49" bestFit="1" customWidth="1"/>
    <col min="4" max="4" width="16.140625" style="49" customWidth="1"/>
    <col min="5" max="5" width="14.5703125" style="49" customWidth="1"/>
    <col min="6" max="6" width="18.7109375" style="49" customWidth="1"/>
    <col min="7" max="7" width="22.28515625" style="49" customWidth="1"/>
    <col min="8" max="8" width="18.140625" style="49" customWidth="1"/>
    <col min="9" max="9" width="14" style="49" customWidth="1"/>
    <col min="10" max="10" width="13.42578125" style="49" customWidth="1"/>
    <col min="11" max="11" width="14.85546875" style="2" customWidth="1"/>
    <col min="12" max="12" width="12.140625" style="2" customWidth="1"/>
    <col min="13" max="13" width="11.85546875" style="2" customWidth="1"/>
    <col min="14" max="14" width="22" style="2" bestFit="1" customWidth="1"/>
    <col min="15" max="16" width="19.42578125" style="2" bestFit="1" customWidth="1"/>
    <col min="17" max="17" width="19.42578125" style="2" customWidth="1"/>
    <col min="18" max="18" width="11.140625" style="2" customWidth="1"/>
    <col min="19" max="19" width="8.85546875" style="2"/>
    <col min="20" max="20" width="4.7109375" style="2" bestFit="1" customWidth="1"/>
    <col min="21" max="21" width="18.140625" style="2" bestFit="1" customWidth="1"/>
    <col min="22" max="22" width="14" style="2" customWidth="1"/>
    <col min="23" max="23" width="22" style="2" bestFit="1" customWidth="1"/>
    <col min="24" max="24" width="21.140625" style="2" customWidth="1"/>
    <col min="25" max="25" width="19.42578125" style="2" bestFit="1" customWidth="1"/>
    <col min="26" max="26" width="18.5703125" style="2" customWidth="1"/>
    <col min="27" max="27" width="19.42578125" style="2" customWidth="1"/>
    <col min="28" max="28" width="12.28515625" style="2" customWidth="1"/>
    <col min="29" max="29" width="10" style="2" customWidth="1"/>
    <col min="30" max="30" width="4.7109375" style="2" bestFit="1" customWidth="1"/>
    <col min="31" max="31" width="18.140625" style="2" bestFit="1" customWidth="1"/>
    <col min="32" max="32" width="10.85546875" style="2" bestFit="1" customWidth="1"/>
    <col min="33" max="33" width="22" style="2" bestFit="1" customWidth="1"/>
    <col min="34" max="34" width="18.42578125" style="2" bestFit="1" customWidth="1"/>
    <col min="35" max="35" width="19.42578125" style="2" bestFit="1" customWidth="1"/>
    <col min="36" max="36" width="19.42578125" style="2" customWidth="1"/>
    <col min="37" max="37" width="9.28515625" style="2" bestFit="1" customWidth="1"/>
    <col min="38" max="16384" width="8.85546875" style="49"/>
  </cols>
  <sheetData>
    <row r="1" spans="1:37" ht="33.75" customHeight="1">
      <c r="A1" s="46"/>
      <c r="B1" s="47"/>
      <c r="C1" s="47"/>
      <c r="D1" s="48"/>
      <c r="E1" s="48"/>
      <c r="F1" s="48"/>
      <c r="G1" s="48"/>
      <c r="H1" s="48"/>
      <c r="I1" s="48"/>
      <c r="J1" s="48"/>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row>
    <row r="2" spans="1:37" ht="36.75" thickBot="1">
      <c r="A2" s="1118" t="s">
        <v>201</v>
      </c>
      <c r="B2" s="1118"/>
      <c r="C2" s="1118"/>
      <c r="D2" s="1118"/>
      <c r="E2" s="1118"/>
      <c r="F2" s="1118"/>
      <c r="G2" s="1118"/>
      <c r="H2" s="1118"/>
      <c r="I2" s="1118"/>
      <c r="J2" s="1118"/>
    </row>
    <row r="3" spans="1:37" ht="15" customHeight="1">
      <c r="A3" s="1059" t="s">
        <v>691</v>
      </c>
      <c r="B3" s="1281"/>
      <c r="C3" s="1281"/>
      <c r="D3" s="1281"/>
      <c r="E3" s="1281"/>
      <c r="F3" s="1281"/>
      <c r="G3" s="1281"/>
      <c r="H3" s="1281"/>
      <c r="I3" s="1281"/>
      <c r="J3" s="1281"/>
    </row>
    <row r="4" spans="1:37">
      <c r="A4" s="1101"/>
      <c r="B4" s="1101"/>
      <c r="C4" s="1101"/>
      <c r="D4" s="1101"/>
      <c r="E4" s="1101"/>
      <c r="F4" s="1101"/>
      <c r="G4" s="1101"/>
      <c r="H4" s="1101"/>
      <c r="I4" s="1101"/>
      <c r="J4" s="1101"/>
    </row>
    <row r="5" spans="1:37">
      <c r="A5" s="1101"/>
      <c r="B5" s="1101"/>
      <c r="C5" s="1101"/>
      <c r="D5" s="1101"/>
      <c r="E5" s="1101"/>
      <c r="F5" s="1101"/>
      <c r="G5" s="1101"/>
      <c r="H5" s="1101"/>
      <c r="I5" s="1101"/>
      <c r="J5" s="1101"/>
    </row>
    <row r="6" spans="1:37">
      <c r="A6" s="1101"/>
      <c r="B6" s="1101"/>
      <c r="C6" s="1101"/>
      <c r="D6" s="1101"/>
      <c r="E6" s="1101"/>
      <c r="F6" s="1101"/>
      <c r="G6" s="1101"/>
      <c r="H6" s="1101"/>
      <c r="I6" s="1101"/>
      <c r="J6" s="1101"/>
    </row>
    <row r="7" spans="1:37">
      <c r="A7" s="1101"/>
      <c r="B7" s="1101"/>
      <c r="C7" s="1101"/>
      <c r="D7" s="1101"/>
      <c r="E7" s="1101"/>
      <c r="F7" s="1101"/>
      <c r="G7" s="1101"/>
      <c r="H7" s="1101"/>
      <c r="I7" s="1101"/>
      <c r="J7" s="1101"/>
    </row>
    <row r="8" spans="1:37">
      <c r="A8" s="1101"/>
      <c r="B8" s="1101"/>
      <c r="C8" s="1101"/>
      <c r="D8" s="1101"/>
      <c r="E8" s="1101"/>
      <c r="F8" s="1101"/>
      <c r="G8" s="1101"/>
      <c r="H8" s="1101"/>
      <c r="I8" s="1101"/>
      <c r="J8" s="1101"/>
    </row>
    <row r="9" spans="1:37">
      <c r="L9" s="195"/>
    </row>
    <row r="10" spans="1:37" ht="17.25">
      <c r="A10" s="196" t="s">
        <v>209</v>
      </c>
      <c r="B10" s="1273" t="s">
        <v>692</v>
      </c>
      <c r="C10" s="1271"/>
      <c r="L10" s="195"/>
    </row>
    <row r="11" spans="1:37">
      <c r="D11" s="91"/>
      <c r="E11" s="91"/>
      <c r="F11" s="91"/>
      <c r="L11" s="195"/>
    </row>
    <row r="12" spans="1:37">
      <c r="A12" s="1272" t="s">
        <v>202</v>
      </c>
      <c r="B12" s="1273"/>
      <c r="C12" s="1273"/>
      <c r="D12" s="1273"/>
      <c r="E12" s="1273"/>
      <c r="F12" s="1271"/>
      <c r="L12" s="195"/>
    </row>
    <row r="13" spans="1:37">
      <c r="A13" s="49" t="s">
        <v>203</v>
      </c>
      <c r="B13" s="49">
        <v>100</v>
      </c>
      <c r="C13" s="49" t="s">
        <v>115</v>
      </c>
      <c r="L13" s="195"/>
    </row>
    <row r="14" spans="1:37">
      <c r="A14" s="49" t="s">
        <v>205</v>
      </c>
      <c r="B14" s="49">
        <v>2.5</v>
      </c>
      <c r="C14" s="49" t="s">
        <v>111</v>
      </c>
      <c r="D14" s="1284" t="s">
        <v>206</v>
      </c>
      <c r="E14" s="1285"/>
      <c r="F14" s="197">
        <f>RATE(B14,,-B13,B15,,)</f>
        <v>0.39537563185509295</v>
      </c>
      <c r="H14" s="198"/>
      <c r="L14" s="195"/>
    </row>
    <row r="15" spans="1:37">
      <c r="A15" s="49" t="s">
        <v>204</v>
      </c>
      <c r="B15" s="49">
        <v>230</v>
      </c>
      <c r="C15" s="49" t="s">
        <v>115</v>
      </c>
      <c r="L15" s="195"/>
    </row>
    <row r="16" spans="1:37">
      <c r="L16" s="195"/>
    </row>
    <row r="17" spans="1:12">
      <c r="A17" s="1272" t="s">
        <v>207</v>
      </c>
      <c r="B17" s="1273"/>
      <c r="C17" s="1273"/>
      <c r="D17" s="1273"/>
      <c r="E17" s="1273"/>
      <c r="F17" s="1271"/>
      <c r="L17" s="195"/>
    </row>
    <row r="18" spans="1:12">
      <c r="A18" s="49" t="s">
        <v>203</v>
      </c>
      <c r="B18" s="49">
        <v>100</v>
      </c>
      <c r="C18" s="49" t="s">
        <v>115</v>
      </c>
      <c r="L18" s="195"/>
    </row>
    <row r="19" spans="1:12">
      <c r="A19" s="49" t="s">
        <v>205</v>
      </c>
      <c r="B19" s="49">
        <v>10</v>
      </c>
      <c r="C19" s="49" t="s">
        <v>111</v>
      </c>
      <c r="D19" s="1284" t="s">
        <v>206</v>
      </c>
      <c r="E19" s="1285"/>
      <c r="F19" s="197">
        <f>RATE(B19,,-B18,B20,,)</f>
        <v>8.6857942899233917E-2</v>
      </c>
      <c r="J19" s="2"/>
      <c r="L19" s="195"/>
    </row>
    <row r="20" spans="1:12">
      <c r="A20" s="49" t="s">
        <v>204</v>
      </c>
      <c r="B20" s="49">
        <v>230</v>
      </c>
      <c r="C20" s="49" t="s">
        <v>115</v>
      </c>
      <c r="J20" s="199"/>
      <c r="L20" s="195"/>
    </row>
    <row r="22" spans="1:12">
      <c r="A22" s="1272" t="s">
        <v>208</v>
      </c>
      <c r="B22" s="1273"/>
      <c r="C22" s="1273"/>
      <c r="D22" s="1273"/>
      <c r="E22" s="1273"/>
      <c r="F22" s="1271"/>
    </row>
    <row r="23" spans="1:12">
      <c r="A23" s="49" t="s">
        <v>203</v>
      </c>
      <c r="B23" s="49">
        <v>100</v>
      </c>
      <c r="C23" s="49" t="s">
        <v>115</v>
      </c>
    </row>
    <row r="24" spans="1:12">
      <c r="A24" s="49" t="s">
        <v>205</v>
      </c>
      <c r="B24" s="49">
        <v>20</v>
      </c>
      <c r="C24" s="49" t="s">
        <v>111</v>
      </c>
      <c r="D24" s="1284" t="s">
        <v>206</v>
      </c>
      <c r="E24" s="1285"/>
      <c r="F24" s="197">
        <f>RATE(B24,,-B23,B25,,)</f>
        <v>4.2524792462737729E-2</v>
      </c>
    </row>
    <row r="25" spans="1:12">
      <c r="A25" s="49" t="s">
        <v>204</v>
      </c>
      <c r="B25" s="49">
        <v>230</v>
      </c>
      <c r="C25" s="49" t="s">
        <v>115</v>
      </c>
    </row>
    <row r="26" spans="1:12">
      <c r="A26" s="87"/>
      <c r="B26" s="87"/>
      <c r="C26" s="87"/>
      <c r="D26" s="87"/>
      <c r="E26" s="87"/>
      <c r="F26" s="87"/>
      <c r="G26" s="87"/>
      <c r="H26" s="87"/>
      <c r="I26" s="87"/>
      <c r="J26" s="87"/>
    </row>
    <row r="27" spans="1:12">
      <c r="A27" s="117" t="s">
        <v>210</v>
      </c>
      <c r="B27" s="117"/>
      <c r="C27" s="117"/>
      <c r="D27" s="117"/>
      <c r="E27" s="117"/>
      <c r="F27" s="117"/>
      <c r="G27" s="117"/>
      <c r="H27" s="64"/>
      <c r="I27" s="64"/>
      <c r="J27" s="64"/>
    </row>
    <row r="28" spans="1:12" ht="15" customHeight="1">
      <c r="A28" s="1282" t="s">
        <v>912</v>
      </c>
      <c r="B28" s="1219"/>
      <c r="C28" s="1219"/>
      <c r="D28" s="1219"/>
      <c r="E28" s="1219"/>
      <c r="F28" s="1219"/>
      <c r="G28" s="1219"/>
      <c r="H28" s="1219"/>
      <c r="I28" s="1219"/>
      <c r="J28" s="1219"/>
    </row>
    <row r="29" spans="1:12">
      <c r="A29" s="1219"/>
      <c r="B29" s="1219"/>
      <c r="C29" s="1219"/>
      <c r="D29" s="1219"/>
      <c r="E29" s="1219"/>
      <c r="F29" s="1219"/>
      <c r="G29" s="1219"/>
      <c r="H29" s="1219"/>
      <c r="I29" s="1219"/>
      <c r="J29" s="1219"/>
    </row>
    <row r="30" spans="1:12">
      <c r="A30" s="1219"/>
      <c r="B30" s="1219"/>
      <c r="C30" s="1219"/>
      <c r="D30" s="1219"/>
      <c r="E30" s="1219"/>
      <c r="F30" s="1219"/>
      <c r="G30" s="1219"/>
      <c r="H30" s="1219"/>
      <c r="I30" s="1219"/>
      <c r="J30" s="1219"/>
    </row>
    <row r="31" spans="1:12">
      <c r="A31" s="1219"/>
      <c r="B31" s="1219"/>
      <c r="C31" s="1219"/>
      <c r="D31" s="1219"/>
      <c r="E31" s="1219"/>
      <c r="F31" s="1219"/>
      <c r="G31" s="1219"/>
      <c r="H31" s="1219"/>
      <c r="I31" s="1219"/>
      <c r="J31" s="1219"/>
    </row>
    <row r="32" spans="1:12">
      <c r="A32" s="1219"/>
      <c r="B32" s="1219"/>
      <c r="C32" s="1219"/>
      <c r="D32" s="1219"/>
      <c r="E32" s="1219"/>
      <c r="F32" s="1219"/>
      <c r="G32" s="1219"/>
      <c r="H32" s="1219"/>
      <c r="I32" s="1219"/>
      <c r="J32" s="1219"/>
    </row>
    <row r="33" spans="1:10">
      <c r="A33" s="1219"/>
      <c r="B33" s="1219"/>
      <c r="C33" s="1219"/>
      <c r="D33" s="1219"/>
      <c r="E33" s="1219"/>
      <c r="F33" s="1219"/>
      <c r="G33" s="1219"/>
      <c r="H33" s="1219"/>
      <c r="I33" s="1219"/>
      <c r="J33" s="1219"/>
    </row>
    <row r="34" spans="1:10">
      <c r="A34" s="1219"/>
      <c r="B34" s="1219"/>
      <c r="C34" s="1219"/>
      <c r="D34" s="1219"/>
      <c r="E34" s="1219"/>
      <c r="F34" s="1219"/>
      <c r="G34" s="1219"/>
      <c r="H34" s="1219"/>
      <c r="I34" s="1219"/>
      <c r="J34" s="1219"/>
    </row>
    <row r="35" spans="1:10">
      <c r="A35" s="1219"/>
      <c r="B35" s="1219"/>
      <c r="C35" s="1219"/>
      <c r="D35" s="1219"/>
      <c r="E35" s="1219"/>
      <c r="F35" s="1219"/>
      <c r="G35" s="1219"/>
      <c r="H35" s="1219"/>
      <c r="I35" s="1219"/>
      <c r="J35" s="1219"/>
    </row>
    <row r="36" spans="1:10">
      <c r="A36" s="87"/>
      <c r="B36" s="87"/>
      <c r="C36" s="87"/>
      <c r="D36" s="87"/>
      <c r="E36" s="87"/>
      <c r="F36" s="87"/>
      <c r="G36" s="87"/>
      <c r="H36" s="87"/>
      <c r="I36" s="87"/>
      <c r="J36" s="87"/>
    </row>
    <row r="37" spans="1:10">
      <c r="A37" s="1121" t="s">
        <v>913</v>
      </c>
      <c r="B37" s="1122"/>
      <c r="C37" s="1122"/>
      <c r="D37" s="1122"/>
      <c r="E37" s="1122"/>
      <c r="F37" s="1122"/>
      <c r="G37" s="1122"/>
      <c r="H37" s="1122"/>
      <c r="I37" s="1122"/>
      <c r="J37" s="1122"/>
    </row>
    <row r="38" spans="1:10">
      <c r="A38" s="1159"/>
      <c r="B38" s="1159"/>
      <c r="C38" s="1159"/>
      <c r="D38" s="1159"/>
      <c r="E38" s="1159"/>
      <c r="F38" s="1159"/>
      <c r="G38" s="1159"/>
      <c r="H38" s="1159"/>
      <c r="I38" s="1159"/>
      <c r="J38" s="1159"/>
    </row>
    <row r="39" spans="1:10">
      <c r="A39" s="1283" t="s">
        <v>914</v>
      </c>
      <c r="B39" s="1184"/>
      <c r="C39" s="1184"/>
      <c r="D39" s="1184"/>
      <c r="E39" s="1184"/>
      <c r="F39" s="1184"/>
      <c r="G39" s="1184"/>
      <c r="H39" s="1184"/>
      <c r="I39" s="1184"/>
      <c r="J39" s="1184"/>
    </row>
    <row r="40" spans="1:10">
      <c r="A40" s="1184"/>
      <c r="B40" s="1184"/>
      <c r="C40" s="1184"/>
      <c r="D40" s="1184"/>
      <c r="E40" s="1184"/>
      <c r="F40" s="1184"/>
      <c r="G40" s="1184"/>
      <c r="H40" s="1184"/>
      <c r="I40" s="1184"/>
      <c r="J40" s="1184"/>
    </row>
    <row r="41" spans="1:10">
      <c r="A41" s="1184"/>
      <c r="B41" s="1184"/>
      <c r="C41" s="1184"/>
      <c r="D41" s="1184"/>
      <c r="E41" s="1184"/>
      <c r="F41" s="1184"/>
      <c r="G41" s="1184"/>
      <c r="H41" s="1184"/>
      <c r="I41" s="1184"/>
      <c r="J41" s="1184"/>
    </row>
    <row r="42" spans="1:10">
      <c r="A42" s="1184"/>
      <c r="B42" s="1184"/>
      <c r="C42" s="1184"/>
      <c r="D42" s="1184"/>
      <c r="E42" s="1184"/>
      <c r="F42" s="1184"/>
      <c r="G42" s="1184"/>
      <c r="H42" s="1184"/>
      <c r="I42" s="1184"/>
      <c r="J42" s="1184"/>
    </row>
    <row r="43" spans="1:10">
      <c r="A43" s="1184"/>
      <c r="B43" s="1184"/>
      <c r="C43" s="1184"/>
      <c r="D43" s="1184"/>
      <c r="E43" s="1184"/>
      <c r="F43" s="1184"/>
      <c r="G43" s="1184"/>
      <c r="H43" s="1184"/>
      <c r="I43" s="1184"/>
      <c r="J43" s="1184"/>
    </row>
    <row r="44" spans="1:10">
      <c r="A44" s="1184"/>
      <c r="B44" s="1184"/>
      <c r="C44" s="1184"/>
      <c r="D44" s="1184"/>
      <c r="E44" s="1184"/>
      <c r="F44" s="1184"/>
      <c r="G44" s="1184"/>
      <c r="H44" s="1184"/>
      <c r="I44" s="1184"/>
      <c r="J44" s="1184"/>
    </row>
    <row r="45" spans="1:10">
      <c r="A45" s="1184"/>
      <c r="B45" s="1184"/>
      <c r="C45" s="1184"/>
      <c r="D45" s="1184"/>
      <c r="E45" s="1184"/>
      <c r="F45" s="1184"/>
      <c r="G45" s="1184"/>
      <c r="H45" s="1184"/>
      <c r="I45" s="1184"/>
      <c r="J45" s="1184"/>
    </row>
    <row r="46" spans="1:10">
      <c r="A46" s="1184"/>
      <c r="B46" s="1184"/>
      <c r="C46" s="1184"/>
      <c r="D46" s="1184"/>
      <c r="E46" s="1184"/>
      <c r="F46" s="1184"/>
      <c r="G46" s="1184"/>
      <c r="H46" s="1184"/>
      <c r="I46" s="1184"/>
      <c r="J46" s="1184"/>
    </row>
    <row r="47" spans="1:10">
      <c r="A47" s="1184"/>
      <c r="B47" s="1184"/>
      <c r="C47" s="1184"/>
      <c r="D47" s="1184"/>
      <c r="E47" s="1184"/>
      <c r="F47" s="1184"/>
      <c r="G47" s="1184"/>
      <c r="H47" s="1184"/>
      <c r="I47" s="1184"/>
      <c r="J47" s="1184"/>
    </row>
    <row r="48" spans="1:10">
      <c r="A48" s="1184"/>
      <c r="B48" s="1184"/>
      <c r="C48" s="1184"/>
      <c r="D48" s="1184"/>
      <c r="E48" s="1184"/>
      <c r="F48" s="1184"/>
      <c r="G48" s="1184"/>
      <c r="H48" s="1184"/>
      <c r="I48" s="1184"/>
      <c r="J48" s="1184"/>
    </row>
    <row r="49" spans="1:37" ht="33" customHeight="1">
      <c r="A49" s="1184"/>
      <c r="B49" s="1184"/>
      <c r="C49" s="1184"/>
      <c r="D49" s="1184"/>
      <c r="E49" s="1184"/>
      <c r="F49" s="1184"/>
      <c r="G49" s="1184"/>
      <c r="H49" s="1184"/>
      <c r="I49" s="1184"/>
      <c r="J49" s="1184"/>
    </row>
    <row r="50" spans="1:37" ht="9" customHeight="1"/>
    <row r="51" spans="1:37" ht="3" customHeight="1">
      <c r="A51" s="1121" t="s">
        <v>916</v>
      </c>
      <c r="B51" s="1122"/>
      <c r="C51" s="1122"/>
      <c r="D51" s="1122"/>
      <c r="E51" s="1122"/>
      <c r="F51" s="1122"/>
      <c r="G51" s="1122"/>
      <c r="H51" s="1122"/>
      <c r="I51" s="1122"/>
      <c r="J51" s="1122"/>
    </row>
    <row r="52" spans="1:37" ht="2.25" customHeight="1">
      <c r="A52" s="1123"/>
      <c r="B52" s="1123"/>
      <c r="C52" s="1123"/>
      <c r="D52" s="1123"/>
      <c r="E52" s="1123"/>
      <c r="F52" s="1123"/>
      <c r="G52" s="1123"/>
      <c r="H52" s="1123"/>
      <c r="I52" s="1123"/>
      <c r="J52" s="1123"/>
    </row>
    <row r="53" spans="1:37" ht="9" customHeight="1">
      <c r="A53" s="1123"/>
      <c r="B53" s="1123"/>
      <c r="C53" s="1123"/>
      <c r="D53" s="1123"/>
      <c r="E53" s="1123"/>
      <c r="F53" s="1123"/>
      <c r="G53" s="1123"/>
      <c r="H53" s="1123"/>
      <c r="I53" s="1123"/>
      <c r="J53" s="1123"/>
    </row>
    <row r="54" spans="1:37">
      <c r="A54" s="1123"/>
      <c r="B54" s="1123"/>
      <c r="C54" s="1123"/>
      <c r="D54" s="1123"/>
      <c r="E54" s="1123"/>
      <c r="F54" s="1123"/>
      <c r="G54" s="1123"/>
      <c r="H54" s="1123"/>
      <c r="I54" s="1123"/>
      <c r="J54" s="1123"/>
    </row>
    <row r="55" spans="1:37">
      <c r="A55" s="1123"/>
      <c r="B55" s="1123"/>
      <c r="C55" s="1123"/>
      <c r="D55" s="1123"/>
      <c r="E55" s="1123"/>
      <c r="F55" s="1123"/>
      <c r="G55" s="1123"/>
      <c r="H55" s="1123"/>
      <c r="I55" s="1123"/>
      <c r="J55" s="1123"/>
    </row>
    <row r="56" spans="1:37">
      <c r="A56" s="1123"/>
      <c r="B56" s="1123"/>
      <c r="C56" s="1123"/>
      <c r="D56" s="1123"/>
      <c r="E56" s="1123"/>
      <c r="F56" s="1123"/>
      <c r="G56" s="1123"/>
      <c r="H56" s="1123"/>
      <c r="I56" s="1123"/>
      <c r="J56" s="1123"/>
    </row>
    <row r="57" spans="1:37">
      <c r="A57" s="1123"/>
      <c r="B57" s="1123"/>
      <c r="C57" s="1123"/>
      <c r="D57" s="1123"/>
      <c r="E57" s="1123"/>
      <c r="F57" s="1123"/>
      <c r="G57" s="1123"/>
      <c r="H57" s="1123"/>
      <c r="I57" s="1123"/>
      <c r="J57" s="1123"/>
    </row>
    <row r="58" spans="1:37">
      <c r="A58" s="64"/>
      <c r="B58" s="64"/>
      <c r="C58" s="64"/>
      <c r="D58" s="64"/>
      <c r="E58" s="64"/>
      <c r="F58" s="64"/>
      <c r="G58" s="64"/>
      <c r="H58" s="64"/>
      <c r="I58" s="64"/>
      <c r="J58" s="64"/>
    </row>
    <row r="59" spans="1:37">
      <c r="A59" s="64"/>
      <c r="B59" s="529"/>
      <c r="C59" s="1069" t="s">
        <v>915</v>
      </c>
      <c r="D59" s="1069"/>
      <c r="E59" s="1069"/>
      <c r="F59" s="1069"/>
      <c r="G59" s="1069"/>
      <c r="H59" s="1069"/>
      <c r="I59" s="64"/>
      <c r="J59" s="64"/>
    </row>
    <row r="60" spans="1:37" s="200" customFormat="1">
      <c r="A60" s="80"/>
      <c r="B60" s="538"/>
      <c r="C60" s="1279"/>
      <c r="D60" s="1279"/>
      <c r="E60" s="1267" t="s">
        <v>211</v>
      </c>
      <c r="F60" s="1267"/>
      <c r="G60" s="1267" t="s">
        <v>212</v>
      </c>
      <c r="H60" s="1267"/>
      <c r="I60" s="80"/>
      <c r="J60" s="80"/>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row>
    <row r="61" spans="1:37" s="200" customFormat="1">
      <c r="A61" s="80"/>
      <c r="B61" s="538"/>
      <c r="C61" s="1267" t="s">
        <v>127</v>
      </c>
      <c r="D61" s="1267"/>
      <c r="E61" s="832">
        <v>1</v>
      </c>
      <c r="F61" s="833" t="s">
        <v>219</v>
      </c>
      <c r="G61" s="832">
        <v>5</v>
      </c>
      <c r="H61" s="833" t="s">
        <v>111</v>
      </c>
      <c r="I61" s="80"/>
      <c r="J61" s="80"/>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row>
    <row r="62" spans="1:37" s="200" customFormat="1">
      <c r="A62" s="80"/>
      <c r="B62" s="538"/>
      <c r="C62" s="1267" t="s">
        <v>213</v>
      </c>
      <c r="D62" s="1267"/>
      <c r="E62" s="832">
        <v>100</v>
      </c>
      <c r="F62" s="833" t="s">
        <v>68</v>
      </c>
      <c r="G62" s="832">
        <v>20</v>
      </c>
      <c r="H62" s="833" t="s">
        <v>68</v>
      </c>
      <c r="I62" s="80"/>
      <c r="J62" s="80"/>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row>
    <row r="63" spans="1:37" s="200" customFormat="1">
      <c r="A63" s="80"/>
      <c r="B63" s="538"/>
      <c r="C63" s="1267" t="s">
        <v>214</v>
      </c>
      <c r="D63" s="1267"/>
      <c r="E63" s="832">
        <v>1</v>
      </c>
      <c r="F63" s="833" t="s">
        <v>56</v>
      </c>
      <c r="G63" s="1300" t="s">
        <v>215</v>
      </c>
      <c r="H63" s="1301"/>
      <c r="I63" s="80"/>
      <c r="J63" s="80"/>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row>
    <row r="64" spans="1:37" s="200" customFormat="1">
      <c r="A64" s="80"/>
      <c r="B64" s="538"/>
      <c r="C64" s="1267" t="s">
        <v>216</v>
      </c>
      <c r="D64" s="1267"/>
      <c r="E64" s="832">
        <v>10</v>
      </c>
      <c r="F64" s="833" t="s">
        <v>220</v>
      </c>
      <c r="G64" s="832">
        <v>10</v>
      </c>
      <c r="H64" s="833" t="s">
        <v>220</v>
      </c>
      <c r="I64" s="80"/>
      <c r="J64" s="80"/>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row>
    <row r="65" spans="1:37" s="200" customFormat="1">
      <c r="A65" s="80"/>
      <c r="B65" s="538"/>
      <c r="C65" s="1267" t="s">
        <v>217</v>
      </c>
      <c r="D65" s="1267"/>
      <c r="E65" s="832">
        <v>0</v>
      </c>
      <c r="F65" s="833" t="s">
        <v>115</v>
      </c>
      <c r="G65" s="832">
        <v>0</v>
      </c>
      <c r="H65" s="833" t="s">
        <v>115</v>
      </c>
      <c r="I65" s="80"/>
      <c r="J65" s="80"/>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row>
    <row r="66" spans="1:37">
      <c r="A66" s="64"/>
      <c r="B66" s="64"/>
      <c r="C66" s="64"/>
      <c r="D66" s="64"/>
      <c r="E66" s="64"/>
      <c r="F66" s="64"/>
      <c r="G66" s="64"/>
      <c r="H66" s="64"/>
      <c r="I66" s="64"/>
      <c r="J66" s="64"/>
    </row>
    <row r="67" spans="1:37">
      <c r="A67" s="1280" t="s">
        <v>218</v>
      </c>
      <c r="B67" s="1280"/>
      <c r="C67" s="1280"/>
      <c r="D67" s="1280"/>
    </row>
    <row r="68" spans="1:37">
      <c r="A68" s="1133" t="s">
        <v>202</v>
      </c>
      <c r="B68" s="1133"/>
      <c r="C68" s="2">
        <v>80</v>
      </c>
      <c r="D68" s="49" t="s">
        <v>222</v>
      </c>
    </row>
    <row r="69" spans="1:37">
      <c r="A69" s="1133" t="s">
        <v>207</v>
      </c>
      <c r="B69" s="1133"/>
      <c r="C69" s="2">
        <v>15</v>
      </c>
      <c r="D69" s="49" t="s">
        <v>222</v>
      </c>
    </row>
    <row r="70" spans="1:37">
      <c r="A70" s="1133" t="s">
        <v>208</v>
      </c>
      <c r="B70" s="1133"/>
      <c r="C70" s="2">
        <v>50</v>
      </c>
      <c r="D70" s="49" t="s">
        <v>222</v>
      </c>
    </row>
    <row r="72" spans="1:37">
      <c r="A72" s="1272" t="s">
        <v>202</v>
      </c>
      <c r="B72" s="1273"/>
      <c r="C72" s="1273"/>
      <c r="D72" s="1273"/>
      <c r="E72" s="1273"/>
      <c r="F72" s="1273"/>
      <c r="G72" s="1273"/>
      <c r="H72" s="1273"/>
      <c r="I72" s="1273"/>
      <c r="J72" s="1273"/>
      <c r="K72" s="1271"/>
      <c r="L72" s="91"/>
    </row>
    <row r="73" spans="1:37">
      <c r="A73" s="49" t="s">
        <v>113</v>
      </c>
      <c r="B73" s="198">
        <f>F14</f>
        <v>0.39537563185509295</v>
      </c>
    </row>
    <row r="74" spans="1:37">
      <c r="A74" s="49" t="s">
        <v>224</v>
      </c>
      <c r="B74" s="1274" t="s">
        <v>226</v>
      </c>
      <c r="C74" s="1274"/>
      <c r="D74" s="201">
        <v>1</v>
      </c>
      <c r="G74" s="49" t="s">
        <v>225</v>
      </c>
      <c r="H74" s="1274" t="s">
        <v>227</v>
      </c>
      <c r="I74" s="1274"/>
      <c r="J74" s="202" t="s">
        <v>228</v>
      </c>
    </row>
    <row r="75" spans="1:37">
      <c r="B75" s="49" t="s">
        <v>15</v>
      </c>
      <c r="C75" s="203">
        <f>E64*E62*365/10^6</f>
        <v>0.36499999999999999</v>
      </c>
      <c r="D75" s="49" t="s">
        <v>223</v>
      </c>
      <c r="H75" s="49" t="s">
        <v>15</v>
      </c>
      <c r="I75" s="203">
        <f>G64*G62*365/10^6</f>
        <v>7.2999999999999995E-2</v>
      </c>
      <c r="J75" s="49" t="s">
        <v>223</v>
      </c>
    </row>
    <row r="76" spans="1:37">
      <c r="B76" s="49" t="s">
        <v>236</v>
      </c>
      <c r="C76" s="110">
        <f>C75*C68</f>
        <v>29.2</v>
      </c>
      <c r="D76" s="49" t="s">
        <v>221</v>
      </c>
      <c r="H76" s="49" t="s">
        <v>236</v>
      </c>
      <c r="I76" s="110">
        <f>I75*C68</f>
        <v>5.84</v>
      </c>
      <c r="J76" s="49" t="s">
        <v>221</v>
      </c>
    </row>
    <row r="78" spans="1:37">
      <c r="B78" s="201" t="s">
        <v>235</v>
      </c>
      <c r="C78" s="49" t="s">
        <v>236</v>
      </c>
      <c r="H78" s="201" t="s">
        <v>235</v>
      </c>
      <c r="I78" s="49" t="s">
        <v>236</v>
      </c>
    </row>
    <row r="79" spans="1:37">
      <c r="A79" s="87" t="s">
        <v>237</v>
      </c>
      <c r="B79" s="204">
        <v>1</v>
      </c>
      <c r="C79" s="205">
        <v>0</v>
      </c>
      <c r="G79" s="87" t="s">
        <v>237</v>
      </c>
      <c r="H79" s="206">
        <v>0</v>
      </c>
      <c r="I79" s="205">
        <v>0</v>
      </c>
      <c r="M79" s="207"/>
    </row>
    <row r="80" spans="1:37">
      <c r="A80" s="49" t="s">
        <v>230</v>
      </c>
      <c r="B80" s="201">
        <f>$D$74</f>
        <v>1</v>
      </c>
      <c r="C80" s="110">
        <f>$C$76</f>
        <v>29.2</v>
      </c>
      <c r="G80" s="49" t="s">
        <v>230</v>
      </c>
      <c r="H80" s="201">
        <v>0</v>
      </c>
      <c r="I80" s="110">
        <f>$I$76</f>
        <v>5.84</v>
      </c>
      <c r="M80" s="207"/>
    </row>
    <row r="81" spans="1:14">
      <c r="A81" s="49" t="s">
        <v>231</v>
      </c>
      <c r="B81" s="201">
        <f>$D$74</f>
        <v>1</v>
      </c>
      <c r="C81" s="110">
        <f>$C$76</f>
        <v>29.2</v>
      </c>
      <c r="G81" s="49" t="s">
        <v>231</v>
      </c>
      <c r="H81" s="201">
        <v>0</v>
      </c>
      <c r="I81" s="110">
        <f>$I$76</f>
        <v>5.84</v>
      </c>
      <c r="M81" s="207"/>
    </row>
    <row r="82" spans="1:14">
      <c r="A82" s="49" t="s">
        <v>232</v>
      </c>
      <c r="B82" s="201">
        <f>$D$74</f>
        <v>1</v>
      </c>
      <c r="C82" s="110">
        <f>$C$76</f>
        <v>29.2</v>
      </c>
      <c r="G82" s="49" t="s">
        <v>232</v>
      </c>
      <c r="H82" s="201">
        <v>0</v>
      </c>
      <c r="I82" s="110">
        <f>$I$76</f>
        <v>5.84</v>
      </c>
      <c r="M82" s="207"/>
    </row>
    <row r="83" spans="1:14">
      <c r="A83" s="49" t="s">
        <v>233</v>
      </c>
      <c r="B83" s="201">
        <f>$D$74</f>
        <v>1</v>
      </c>
      <c r="C83" s="110">
        <f>$C$76</f>
        <v>29.2</v>
      </c>
      <c r="G83" s="49" t="s">
        <v>233</v>
      </c>
      <c r="H83" s="201">
        <v>0</v>
      </c>
      <c r="I83" s="110">
        <f>$I$76</f>
        <v>5.84</v>
      </c>
      <c r="M83" s="207"/>
    </row>
    <row r="84" spans="1:14">
      <c r="A84" s="49" t="s">
        <v>234</v>
      </c>
      <c r="B84" s="201">
        <v>0</v>
      </c>
      <c r="C84" s="110">
        <f>$C$76</f>
        <v>29.2</v>
      </c>
      <c r="G84" s="49" t="s">
        <v>234</v>
      </c>
      <c r="H84" s="201">
        <v>0</v>
      </c>
      <c r="I84" s="110">
        <f>$I$76</f>
        <v>5.84</v>
      </c>
      <c r="M84" s="207"/>
    </row>
    <row r="85" spans="1:14">
      <c r="M85" s="207"/>
    </row>
    <row r="86" spans="1:14">
      <c r="D86" s="1145" t="s">
        <v>693</v>
      </c>
      <c r="E86" s="1147"/>
      <c r="J86" s="1145" t="s">
        <v>693</v>
      </c>
      <c r="K86" s="1147"/>
      <c r="L86" s="91"/>
    </row>
    <row r="87" spans="1:14">
      <c r="A87" s="49" t="s">
        <v>229</v>
      </c>
      <c r="B87" s="110">
        <f>NPV($B$73,B80:B83)+B79</f>
        <v>2.8620871616777901</v>
      </c>
      <c r="C87" s="110">
        <f>NPV($B$73,C80:C84)+C79</f>
        <v>59.892793892268827</v>
      </c>
      <c r="D87" s="1275">
        <f>B87+C87</f>
        <v>62.754881053946619</v>
      </c>
      <c r="E87" s="1276"/>
      <c r="G87" s="49" t="s">
        <v>229</v>
      </c>
      <c r="H87" s="110">
        <f>NPV($B$73,H80:H84)+H79</f>
        <v>0</v>
      </c>
      <c r="I87" s="110">
        <f>NPV($B$73,I80:I84)+I79</f>
        <v>11.978558778453763</v>
      </c>
      <c r="J87" s="1275">
        <f>H87+I87</f>
        <v>11.978558778453763</v>
      </c>
      <c r="K87" s="1276"/>
      <c r="L87" s="208"/>
      <c r="N87" s="209"/>
    </row>
    <row r="89" spans="1:14">
      <c r="G89" s="1272" t="s">
        <v>238</v>
      </c>
      <c r="H89" s="1273"/>
      <c r="I89" s="1273"/>
      <c r="J89" s="1270">
        <f>D87-J87</f>
        <v>50.776322275492859</v>
      </c>
      <c r="K89" s="1271"/>
      <c r="L89" s="91"/>
    </row>
    <row r="91" spans="1:14">
      <c r="A91" s="1272" t="s">
        <v>207</v>
      </c>
      <c r="B91" s="1273"/>
      <c r="C91" s="1273"/>
      <c r="D91" s="1273"/>
      <c r="E91" s="1273"/>
      <c r="F91" s="1273"/>
      <c r="G91" s="1273"/>
      <c r="H91" s="1273"/>
      <c r="I91" s="1273"/>
      <c r="J91" s="1273"/>
      <c r="K91" s="1271"/>
      <c r="L91" s="91"/>
    </row>
    <row r="92" spans="1:14">
      <c r="A92" s="49" t="s">
        <v>113</v>
      </c>
      <c r="B92" s="198">
        <f>F19</f>
        <v>8.6857942899233917E-2</v>
      </c>
    </row>
    <row r="93" spans="1:14">
      <c r="A93" s="49" t="s">
        <v>224</v>
      </c>
      <c r="B93" s="1274" t="s">
        <v>226</v>
      </c>
      <c r="C93" s="1274"/>
      <c r="D93" s="201">
        <v>1</v>
      </c>
      <c r="G93" s="49" t="s">
        <v>225</v>
      </c>
      <c r="H93" s="1274" t="s">
        <v>227</v>
      </c>
      <c r="I93" s="1274"/>
      <c r="J93" s="202" t="s">
        <v>228</v>
      </c>
    </row>
    <row r="94" spans="1:14">
      <c r="B94" s="49" t="s">
        <v>15</v>
      </c>
      <c r="C94" s="203">
        <f>C75</f>
        <v>0.36499999999999999</v>
      </c>
      <c r="D94" s="49" t="s">
        <v>223</v>
      </c>
      <c r="H94" s="49" t="s">
        <v>15</v>
      </c>
      <c r="I94" s="203">
        <f>I75</f>
        <v>7.2999999999999995E-2</v>
      </c>
      <c r="J94" s="49" t="s">
        <v>223</v>
      </c>
    </row>
    <row r="95" spans="1:14">
      <c r="B95" s="49" t="s">
        <v>236</v>
      </c>
      <c r="C95" s="110">
        <f>C94*C69</f>
        <v>5.4749999999999996</v>
      </c>
      <c r="D95" s="49" t="s">
        <v>221</v>
      </c>
      <c r="H95" s="49" t="s">
        <v>236</v>
      </c>
      <c r="I95" s="110">
        <f>I94*C69</f>
        <v>1.095</v>
      </c>
      <c r="J95" s="49" t="s">
        <v>221</v>
      </c>
    </row>
    <row r="97" spans="1:12">
      <c r="B97" s="201" t="s">
        <v>235</v>
      </c>
      <c r="C97" s="49" t="s">
        <v>236</v>
      </c>
      <c r="H97" s="201" t="s">
        <v>235</v>
      </c>
      <c r="I97" s="49" t="s">
        <v>236</v>
      </c>
    </row>
    <row r="98" spans="1:12">
      <c r="A98" s="87" t="s">
        <v>237</v>
      </c>
      <c r="B98" s="204">
        <v>1</v>
      </c>
      <c r="C98" s="205">
        <v>0</v>
      </c>
      <c r="G98" s="87" t="s">
        <v>237</v>
      </c>
      <c r="H98" s="206">
        <v>0</v>
      </c>
      <c r="I98" s="205">
        <v>0</v>
      </c>
    </row>
    <row r="99" spans="1:12">
      <c r="A99" s="49" t="s">
        <v>230</v>
      </c>
      <c r="B99" s="201">
        <f>$D$74</f>
        <v>1</v>
      </c>
      <c r="C99" s="110">
        <f>$C$95</f>
        <v>5.4749999999999996</v>
      </c>
      <c r="G99" s="49" t="s">
        <v>230</v>
      </c>
      <c r="H99" s="201">
        <v>0</v>
      </c>
      <c r="I99" s="110">
        <f>$I$95</f>
        <v>1.095</v>
      </c>
    </row>
    <row r="100" spans="1:12">
      <c r="A100" s="49" t="s">
        <v>231</v>
      </c>
      <c r="B100" s="201">
        <f>$D$74</f>
        <v>1</v>
      </c>
      <c r="C100" s="110">
        <f>$C$95</f>
        <v>5.4749999999999996</v>
      </c>
      <c r="G100" s="49" t="s">
        <v>231</v>
      </c>
      <c r="H100" s="201">
        <v>0</v>
      </c>
      <c r="I100" s="110">
        <f>$I$95</f>
        <v>1.095</v>
      </c>
    </row>
    <row r="101" spans="1:12">
      <c r="A101" s="49" t="s">
        <v>232</v>
      </c>
      <c r="B101" s="201">
        <f>$D$74</f>
        <v>1</v>
      </c>
      <c r="C101" s="110">
        <f>$C$95</f>
        <v>5.4749999999999996</v>
      </c>
      <c r="G101" s="49" t="s">
        <v>232</v>
      </c>
      <c r="H101" s="201">
        <v>0</v>
      </c>
      <c r="I101" s="110">
        <f>$I$95</f>
        <v>1.095</v>
      </c>
    </row>
    <row r="102" spans="1:12">
      <c r="A102" s="49" t="s">
        <v>233</v>
      </c>
      <c r="B102" s="201">
        <f>$D$74</f>
        <v>1</v>
      </c>
      <c r="C102" s="110">
        <f>$C$95</f>
        <v>5.4749999999999996</v>
      </c>
      <c r="G102" s="49" t="s">
        <v>233</v>
      </c>
      <c r="H102" s="201">
        <v>0</v>
      </c>
      <c r="I102" s="110">
        <f>$I$95</f>
        <v>1.095</v>
      </c>
    </row>
    <row r="103" spans="1:12">
      <c r="A103" s="49" t="s">
        <v>234</v>
      </c>
      <c r="B103" s="201">
        <v>0</v>
      </c>
      <c r="C103" s="110">
        <f>$C$95</f>
        <v>5.4749999999999996</v>
      </c>
      <c r="G103" s="49" t="s">
        <v>234</v>
      </c>
      <c r="H103" s="201">
        <v>0</v>
      </c>
      <c r="I103" s="110">
        <f>$I$95</f>
        <v>1.095</v>
      </c>
    </row>
    <row r="105" spans="1:12">
      <c r="D105" s="1145" t="s">
        <v>693</v>
      </c>
      <c r="E105" s="1147"/>
      <c r="J105" s="1145" t="s">
        <v>693</v>
      </c>
      <c r="K105" s="1147"/>
      <c r="L105" s="91"/>
    </row>
    <row r="106" spans="1:12">
      <c r="A106" s="49" t="s">
        <v>229</v>
      </c>
      <c r="B106" s="110">
        <f>NPV(B92,B99:B103)+B98</f>
        <v>4.2621897968032663</v>
      </c>
      <c r="C106" s="110">
        <f>NPV(B92,C99:C103)+C98</f>
        <v>21.470597229339461</v>
      </c>
      <c r="D106" s="1275">
        <f>B106+C106</f>
        <v>25.732787026142727</v>
      </c>
      <c r="E106" s="1276"/>
      <c r="G106" s="49" t="s">
        <v>229</v>
      </c>
      <c r="H106" s="110">
        <f>NPV(B92,H99:H103)+H98</f>
        <v>0</v>
      </c>
      <c r="I106" s="110">
        <f>NPV(B92,I99:I103)+I98</f>
        <v>4.2941194458678922</v>
      </c>
      <c r="J106" s="1275">
        <f>H106+I106</f>
        <v>4.2941194458678922</v>
      </c>
      <c r="K106" s="1276"/>
      <c r="L106" s="208"/>
    </row>
    <row r="108" spans="1:12">
      <c r="G108" s="1272" t="s">
        <v>238</v>
      </c>
      <c r="H108" s="1273"/>
      <c r="I108" s="1273"/>
      <c r="J108" s="1270">
        <f>D106-J106</f>
        <v>21.438667580274835</v>
      </c>
      <c r="K108" s="1271"/>
      <c r="L108" s="91"/>
    </row>
    <row r="110" spans="1:12">
      <c r="A110" s="1272" t="s">
        <v>208</v>
      </c>
      <c r="B110" s="1273"/>
      <c r="C110" s="1273"/>
      <c r="D110" s="1273"/>
      <c r="E110" s="1273"/>
      <c r="F110" s="1273"/>
      <c r="G110" s="1273"/>
      <c r="H110" s="1273"/>
      <c r="I110" s="1273"/>
      <c r="J110" s="1273"/>
      <c r="K110" s="1271"/>
      <c r="L110" s="91"/>
    </row>
    <row r="111" spans="1:12">
      <c r="A111" s="49" t="s">
        <v>113</v>
      </c>
      <c r="B111" s="198">
        <f>F24</f>
        <v>4.2524792462737729E-2</v>
      </c>
    </row>
    <row r="112" spans="1:12">
      <c r="A112" s="49" t="s">
        <v>224</v>
      </c>
      <c r="B112" s="1274" t="s">
        <v>226</v>
      </c>
      <c r="C112" s="1274"/>
      <c r="D112" s="201">
        <v>1</v>
      </c>
      <c r="G112" s="49" t="s">
        <v>225</v>
      </c>
      <c r="H112" s="1274" t="s">
        <v>227</v>
      </c>
      <c r="I112" s="1274"/>
      <c r="J112" s="202" t="s">
        <v>228</v>
      </c>
    </row>
    <row r="113" spans="1:15">
      <c r="B113" s="49" t="s">
        <v>15</v>
      </c>
      <c r="C113" s="203">
        <f>C94</f>
        <v>0.36499999999999999</v>
      </c>
      <c r="D113" s="49" t="s">
        <v>223</v>
      </c>
      <c r="H113" s="49" t="s">
        <v>15</v>
      </c>
      <c r="I113" s="203">
        <f>I94</f>
        <v>7.2999999999999995E-2</v>
      </c>
      <c r="J113" s="49" t="s">
        <v>223</v>
      </c>
    </row>
    <row r="114" spans="1:15">
      <c r="B114" s="49" t="s">
        <v>236</v>
      </c>
      <c r="C114" s="110">
        <f>C113*C70</f>
        <v>18.25</v>
      </c>
      <c r="D114" s="49" t="s">
        <v>221</v>
      </c>
      <c r="H114" s="49" t="s">
        <v>236</v>
      </c>
      <c r="I114" s="110">
        <f>I113*C70</f>
        <v>3.65</v>
      </c>
      <c r="J114" s="49" t="s">
        <v>221</v>
      </c>
      <c r="O114" s="209"/>
    </row>
    <row r="115" spans="1:15">
      <c r="O115" s="210"/>
    </row>
    <row r="116" spans="1:15">
      <c r="B116" s="201" t="s">
        <v>235</v>
      </c>
      <c r="C116" s="49" t="s">
        <v>236</v>
      </c>
      <c r="H116" s="201" t="s">
        <v>235</v>
      </c>
      <c r="I116" s="49" t="s">
        <v>236</v>
      </c>
    </row>
    <row r="117" spans="1:15">
      <c r="A117" s="87" t="s">
        <v>237</v>
      </c>
      <c r="B117" s="204">
        <v>1</v>
      </c>
      <c r="C117" s="205">
        <v>0</v>
      </c>
      <c r="G117" s="87" t="s">
        <v>237</v>
      </c>
      <c r="H117" s="206">
        <v>0</v>
      </c>
      <c r="I117" s="205">
        <v>0</v>
      </c>
    </row>
    <row r="118" spans="1:15">
      <c r="A118" s="49" t="s">
        <v>230</v>
      </c>
      <c r="B118" s="201">
        <f>$D$74</f>
        <v>1</v>
      </c>
      <c r="C118" s="110">
        <f>$C$114</f>
        <v>18.25</v>
      </c>
      <c r="G118" s="49" t="s">
        <v>230</v>
      </c>
      <c r="H118" s="201">
        <v>0</v>
      </c>
      <c r="I118" s="110">
        <f>$I$114</f>
        <v>3.65</v>
      </c>
    </row>
    <row r="119" spans="1:15">
      <c r="A119" s="49" t="s">
        <v>231</v>
      </c>
      <c r="B119" s="201">
        <f>$D$74</f>
        <v>1</v>
      </c>
      <c r="C119" s="110">
        <f>$C$114</f>
        <v>18.25</v>
      </c>
      <c r="G119" s="49" t="s">
        <v>231</v>
      </c>
      <c r="H119" s="201">
        <v>0</v>
      </c>
      <c r="I119" s="110">
        <f>$I$114</f>
        <v>3.65</v>
      </c>
    </row>
    <row r="120" spans="1:15">
      <c r="A120" s="49" t="s">
        <v>232</v>
      </c>
      <c r="B120" s="201">
        <f>$D$74</f>
        <v>1</v>
      </c>
      <c r="C120" s="110">
        <f>$C$114</f>
        <v>18.25</v>
      </c>
      <c r="G120" s="49" t="s">
        <v>232</v>
      </c>
      <c r="H120" s="201">
        <v>0</v>
      </c>
      <c r="I120" s="110">
        <f>$I$114</f>
        <v>3.65</v>
      </c>
    </row>
    <row r="121" spans="1:15">
      <c r="A121" s="49" t="s">
        <v>233</v>
      </c>
      <c r="B121" s="201">
        <f>$D$74</f>
        <v>1</v>
      </c>
      <c r="C121" s="110">
        <f>$C$114</f>
        <v>18.25</v>
      </c>
      <c r="G121" s="49" t="s">
        <v>233</v>
      </c>
      <c r="H121" s="201">
        <v>0</v>
      </c>
      <c r="I121" s="110">
        <f>$I$114</f>
        <v>3.65</v>
      </c>
    </row>
    <row r="122" spans="1:15">
      <c r="A122" s="49" t="s">
        <v>234</v>
      </c>
      <c r="B122" s="201">
        <v>0</v>
      </c>
      <c r="C122" s="110">
        <f>$C$114</f>
        <v>18.25</v>
      </c>
      <c r="G122" s="49" t="s">
        <v>234</v>
      </c>
      <c r="H122" s="201">
        <v>0</v>
      </c>
      <c r="I122" s="110">
        <f>$I$114</f>
        <v>3.65</v>
      </c>
    </row>
    <row r="124" spans="1:15">
      <c r="D124" s="1145" t="s">
        <v>693</v>
      </c>
      <c r="E124" s="1147"/>
      <c r="J124" s="1145" t="s">
        <v>693</v>
      </c>
      <c r="K124" s="1147"/>
      <c r="L124" s="91"/>
    </row>
    <row r="125" spans="1:15">
      <c r="A125" s="49" t="s">
        <v>229</v>
      </c>
      <c r="B125" s="110">
        <f>NPV(B111,B118:B122)+B117</f>
        <v>4.6083998511616313</v>
      </c>
      <c r="C125" s="110">
        <f>NPV(B111,C118:C122)+C117</f>
        <v>80.67270715454552</v>
      </c>
      <c r="D125" s="1275">
        <f>B125+C125</f>
        <v>85.281107005707156</v>
      </c>
      <c r="E125" s="1276"/>
      <c r="G125" s="49" t="s">
        <v>229</v>
      </c>
      <c r="H125" s="110">
        <f>NPV(B111,H118:H122)+H117</f>
        <v>0</v>
      </c>
      <c r="I125" s="110">
        <f>NPV(B111,I118:I122)+I117</f>
        <v>16.134541430909106</v>
      </c>
      <c r="J125" s="1275">
        <f>H125+I125</f>
        <v>16.134541430909106</v>
      </c>
      <c r="K125" s="1276"/>
      <c r="L125" s="208"/>
    </row>
    <row r="127" spans="1:15">
      <c r="D127" s="49" t="s">
        <v>631</v>
      </c>
      <c r="G127" s="1272" t="s">
        <v>238</v>
      </c>
      <c r="H127" s="1273"/>
      <c r="I127" s="1273"/>
      <c r="J127" s="1270">
        <f>D125-J125</f>
        <v>69.146565574798046</v>
      </c>
      <c r="K127" s="1271"/>
      <c r="L127" s="91"/>
    </row>
    <row r="129" spans="1:10">
      <c r="A129" s="95"/>
      <c r="B129" s="95"/>
      <c r="C129" s="95"/>
      <c r="D129" s="95"/>
      <c r="E129" s="95"/>
      <c r="F129" s="95"/>
      <c r="G129" s="95"/>
      <c r="H129" s="95"/>
      <c r="I129" s="95"/>
      <c r="J129" s="95"/>
    </row>
    <row r="130" spans="1:10" ht="15" customHeight="1">
      <c r="A130" s="1277" t="s">
        <v>917</v>
      </c>
      <c r="B130" s="1278"/>
      <c r="C130" s="1278"/>
      <c r="D130" s="1278"/>
      <c r="E130" s="1278"/>
      <c r="F130" s="1278"/>
      <c r="G130" s="1278"/>
      <c r="H130" s="1278"/>
      <c r="I130" s="1278"/>
      <c r="J130" s="1278"/>
    </row>
    <row r="131" spans="1:10">
      <c r="A131" s="1278"/>
      <c r="B131" s="1278"/>
      <c r="C131" s="1278"/>
      <c r="D131" s="1278"/>
      <c r="E131" s="1278"/>
      <c r="F131" s="1278"/>
      <c r="G131" s="1278"/>
      <c r="H131" s="1278"/>
      <c r="I131" s="1278"/>
      <c r="J131" s="1278"/>
    </row>
    <row r="132" spans="1:10">
      <c r="A132" s="1278"/>
      <c r="B132" s="1278"/>
      <c r="C132" s="1278"/>
      <c r="D132" s="1278"/>
      <c r="E132" s="1278"/>
      <c r="F132" s="1278"/>
      <c r="G132" s="1278"/>
      <c r="H132" s="1278"/>
      <c r="I132" s="1278"/>
      <c r="J132" s="1278"/>
    </row>
    <row r="133" spans="1:10">
      <c r="A133" s="1278"/>
      <c r="B133" s="1278"/>
      <c r="C133" s="1278"/>
      <c r="D133" s="1278"/>
      <c r="E133" s="1278"/>
      <c r="F133" s="1278"/>
      <c r="G133" s="1278"/>
      <c r="H133" s="1278"/>
      <c r="I133" s="1278"/>
      <c r="J133" s="1278"/>
    </row>
    <row r="134" spans="1:10">
      <c r="A134" s="1278"/>
      <c r="B134" s="1278"/>
      <c r="C134" s="1278"/>
      <c r="D134" s="1278"/>
      <c r="E134" s="1278"/>
      <c r="F134" s="1278"/>
      <c r="G134" s="1278"/>
      <c r="H134" s="1278"/>
      <c r="I134" s="1278"/>
      <c r="J134" s="1278"/>
    </row>
    <row r="135" spans="1:10">
      <c r="A135" s="1278"/>
      <c r="B135" s="1278"/>
      <c r="C135" s="1278"/>
      <c r="D135" s="1278"/>
      <c r="E135" s="1278"/>
      <c r="F135" s="1278"/>
      <c r="G135" s="1278"/>
      <c r="H135" s="1278"/>
      <c r="I135" s="1278"/>
      <c r="J135" s="1278"/>
    </row>
    <row r="136" spans="1:10">
      <c r="A136" s="1278"/>
      <c r="B136" s="1278"/>
      <c r="C136" s="1278"/>
      <c r="D136" s="1278"/>
      <c r="E136" s="1278"/>
      <c r="F136" s="1278"/>
      <c r="G136" s="1278"/>
      <c r="H136" s="1278"/>
      <c r="I136" s="1278"/>
      <c r="J136" s="1278"/>
    </row>
    <row r="138" spans="1:10">
      <c r="A138" s="49" t="s">
        <v>239</v>
      </c>
      <c r="B138" s="2">
        <v>5</v>
      </c>
      <c r="C138" s="49" t="s">
        <v>115</v>
      </c>
      <c r="D138" s="49" t="s">
        <v>240</v>
      </c>
      <c r="E138" s="2">
        <v>75</v>
      </c>
      <c r="F138" s="49" t="s">
        <v>68</v>
      </c>
      <c r="G138" s="2" t="s">
        <v>127</v>
      </c>
      <c r="H138" s="211">
        <v>10000</v>
      </c>
      <c r="I138" s="49" t="s">
        <v>67</v>
      </c>
    </row>
    <row r="139" spans="1:10">
      <c r="A139" s="49" t="s">
        <v>242</v>
      </c>
      <c r="B139" s="2">
        <v>1</v>
      </c>
      <c r="C139" s="49" t="s">
        <v>115</v>
      </c>
      <c r="D139" s="49" t="s">
        <v>241</v>
      </c>
      <c r="E139" s="2">
        <v>18</v>
      </c>
      <c r="F139" s="49" t="s">
        <v>68</v>
      </c>
      <c r="G139" s="49" t="s">
        <v>245</v>
      </c>
      <c r="H139" s="211">
        <f>10^6</f>
        <v>1000000</v>
      </c>
    </row>
    <row r="140" spans="1:10">
      <c r="A140" s="49" t="s">
        <v>243</v>
      </c>
      <c r="B140" s="49">
        <v>0.04</v>
      </c>
      <c r="C140" s="49" t="s">
        <v>244</v>
      </c>
    </row>
    <row r="144" spans="1:10" ht="18">
      <c r="B144" s="200" t="s">
        <v>694</v>
      </c>
      <c r="C144" s="212">
        <f>((E138-E139)*H138/1000)*H139*B140</f>
        <v>22800000</v>
      </c>
    </row>
    <row r="148" spans="1:10" ht="18">
      <c r="B148" s="49" t="s">
        <v>695</v>
      </c>
      <c r="C148" s="212">
        <f>(B138+B139)*H139</f>
        <v>6000000</v>
      </c>
    </row>
    <row r="150" spans="1:10" ht="18">
      <c r="B150" s="213" t="s">
        <v>696</v>
      </c>
      <c r="C150" s="214">
        <f>C144-C148</f>
        <v>16800000</v>
      </c>
    </row>
    <row r="152" spans="1:10">
      <c r="A152" s="215" t="s">
        <v>246</v>
      </c>
      <c r="B152" s="216">
        <v>0.15</v>
      </c>
      <c r="C152" s="217">
        <f>B152*C150</f>
        <v>2520000</v>
      </c>
    </row>
    <row r="153" spans="1:10">
      <c r="A153" s="99" t="s">
        <v>247</v>
      </c>
      <c r="B153" s="218">
        <v>0.85</v>
      </c>
      <c r="C153" s="219">
        <f>B153*C150</f>
        <v>14280000</v>
      </c>
    </row>
    <row r="155" spans="1:10">
      <c r="A155" s="1013" t="s">
        <v>918</v>
      </c>
      <c r="B155" s="1159"/>
      <c r="C155" s="1159"/>
      <c r="D155" s="1159"/>
      <c r="E155" s="1159"/>
      <c r="F155" s="1159"/>
      <c r="G155" s="1159"/>
      <c r="H155" s="1159"/>
      <c r="I155" s="1159"/>
      <c r="J155" s="1159"/>
    </row>
    <row r="156" spans="1:10">
      <c r="A156" s="1159"/>
      <c r="B156" s="1159"/>
      <c r="C156" s="1159"/>
      <c r="D156" s="1159"/>
      <c r="E156" s="1159"/>
      <c r="F156" s="1159"/>
      <c r="G156" s="1159"/>
      <c r="H156" s="1159"/>
      <c r="I156" s="1159"/>
      <c r="J156" s="1159"/>
    </row>
    <row r="158" spans="1:10">
      <c r="A158" s="49" t="s">
        <v>248</v>
      </c>
      <c r="B158" s="2">
        <v>15</v>
      </c>
      <c r="C158" s="49" t="s">
        <v>115</v>
      </c>
    </row>
    <row r="162" spans="1:10">
      <c r="A162" s="49" t="s">
        <v>919</v>
      </c>
    </row>
    <row r="163" spans="1:10" ht="18">
      <c r="B163" s="213" t="s">
        <v>697</v>
      </c>
      <c r="C163" s="214">
        <f>(C148+C152)+(B158-B138)*10^6</f>
        <v>18520000</v>
      </c>
    </row>
    <row r="167" spans="1:10">
      <c r="A167" s="49" t="s">
        <v>249</v>
      </c>
    </row>
    <row r="168" spans="1:10" ht="18">
      <c r="B168" s="2" t="s">
        <v>698</v>
      </c>
      <c r="C168" s="220">
        <f>C144-C163</f>
        <v>4280000</v>
      </c>
    </row>
    <row r="170" spans="1:10" ht="15" customHeight="1">
      <c r="A170" s="1121" t="s">
        <v>920</v>
      </c>
      <c r="B170" s="1122"/>
      <c r="C170" s="1122"/>
      <c r="D170" s="1122"/>
      <c r="E170" s="1122"/>
      <c r="F170" s="1122"/>
      <c r="G170" s="1122"/>
      <c r="H170" s="1122"/>
      <c r="I170" s="1122"/>
      <c r="J170" s="1122"/>
    </row>
    <row r="171" spans="1:10">
      <c r="A171" s="1123"/>
      <c r="B171" s="1123"/>
      <c r="C171" s="1123"/>
      <c r="D171" s="1123"/>
      <c r="E171" s="1123"/>
      <c r="F171" s="1123"/>
      <c r="G171" s="1123"/>
      <c r="H171" s="1123"/>
      <c r="I171" s="1123"/>
      <c r="J171" s="1123"/>
    </row>
    <row r="172" spans="1:10">
      <c r="A172" s="1123"/>
      <c r="B172" s="1123"/>
      <c r="C172" s="1123"/>
      <c r="D172" s="1123"/>
      <c r="E172" s="1123"/>
      <c r="F172" s="1123"/>
      <c r="G172" s="1123"/>
      <c r="H172" s="1123"/>
      <c r="I172" s="1123"/>
      <c r="J172" s="1123"/>
    </row>
    <row r="173" spans="1:10">
      <c r="A173" s="1123"/>
      <c r="B173" s="1123"/>
      <c r="C173" s="1123"/>
      <c r="D173" s="1123"/>
      <c r="E173" s="1123"/>
      <c r="F173" s="1123"/>
      <c r="G173" s="1123"/>
      <c r="H173" s="1123"/>
      <c r="I173" s="1123"/>
      <c r="J173" s="1123"/>
    </row>
    <row r="174" spans="1:10">
      <c r="A174" s="1123"/>
      <c r="B174" s="1123"/>
      <c r="C174" s="1123"/>
      <c r="D174" s="1123"/>
      <c r="E174" s="1123"/>
      <c r="F174" s="1123"/>
      <c r="G174" s="1123"/>
      <c r="H174" s="1123"/>
      <c r="I174" s="1123"/>
      <c r="J174" s="1123"/>
    </row>
    <row r="175" spans="1:10">
      <c r="A175" s="1123"/>
      <c r="B175" s="1123"/>
      <c r="C175" s="1123"/>
      <c r="D175" s="1123"/>
      <c r="E175" s="1123"/>
      <c r="F175" s="1123"/>
      <c r="G175" s="1123"/>
      <c r="H175" s="1123"/>
      <c r="I175" s="1123"/>
      <c r="J175" s="1123"/>
    </row>
    <row r="176" spans="1:10">
      <c r="A176" s="64"/>
      <c r="B176" s="64"/>
      <c r="C176" s="64"/>
      <c r="D176" s="64"/>
      <c r="E176" s="64"/>
      <c r="F176" s="64"/>
      <c r="G176" s="64"/>
      <c r="H176" s="64"/>
      <c r="I176" s="64"/>
      <c r="J176" s="64"/>
    </row>
    <row r="177" spans="1:10">
      <c r="A177" s="1013" t="s">
        <v>921</v>
      </c>
      <c r="B177" s="1159"/>
      <c r="C177" s="1159"/>
      <c r="D177" s="1159"/>
      <c r="E177" s="1159"/>
      <c r="F177" s="1159"/>
      <c r="G177" s="1159"/>
      <c r="H177" s="1159"/>
      <c r="I177" s="1159"/>
      <c r="J177" s="1159"/>
    </row>
    <row r="178" spans="1:10">
      <c r="A178" s="1159"/>
      <c r="B178" s="1159"/>
      <c r="C178" s="1159"/>
      <c r="D178" s="1159"/>
      <c r="E178" s="1159"/>
      <c r="F178" s="1159"/>
      <c r="G178" s="1159"/>
      <c r="H178" s="1159"/>
      <c r="I178" s="1159"/>
      <c r="J178" s="1159"/>
    </row>
    <row r="179" spans="1:10">
      <c r="A179" s="1159"/>
      <c r="B179" s="1159"/>
      <c r="C179" s="1159"/>
      <c r="D179" s="1159"/>
      <c r="E179" s="1159"/>
      <c r="F179" s="1159"/>
      <c r="G179" s="1159"/>
      <c r="H179" s="1159"/>
      <c r="I179" s="1159"/>
      <c r="J179" s="1159"/>
    </row>
    <row r="180" spans="1:10" ht="15" customHeight="1">
      <c r="A180" s="1013" t="s">
        <v>922</v>
      </c>
      <c r="B180" s="1159"/>
      <c r="C180" s="1159"/>
      <c r="D180" s="1159"/>
      <c r="E180" s="1159"/>
      <c r="F180" s="1159"/>
      <c r="G180" s="1159"/>
      <c r="H180" s="1159"/>
      <c r="I180" s="1159"/>
      <c r="J180" s="1159"/>
    </row>
    <row r="181" spans="1:10" ht="15" customHeight="1">
      <c r="A181" s="1159"/>
      <c r="B181" s="1159"/>
      <c r="C181" s="1159"/>
      <c r="D181" s="1159"/>
      <c r="E181" s="1159"/>
      <c r="F181" s="1159"/>
      <c r="G181" s="1159"/>
      <c r="H181" s="1159"/>
      <c r="I181" s="1159"/>
      <c r="J181" s="1159"/>
    </row>
    <row r="182" spans="1:10">
      <c r="A182" s="1159"/>
      <c r="B182" s="1159"/>
      <c r="C182" s="1159"/>
      <c r="D182" s="1159"/>
      <c r="E182" s="1159"/>
      <c r="F182" s="1159"/>
      <c r="G182" s="1159"/>
      <c r="H182" s="1159"/>
      <c r="I182" s="1159"/>
      <c r="J182" s="1159"/>
    </row>
    <row r="183" spans="1:10">
      <c r="A183" s="1159"/>
      <c r="B183" s="1159"/>
      <c r="C183" s="1159"/>
      <c r="D183" s="1159"/>
      <c r="E183" s="1159"/>
      <c r="F183" s="1159"/>
      <c r="G183" s="1159"/>
      <c r="H183" s="1159"/>
      <c r="I183" s="1159"/>
      <c r="J183" s="1159"/>
    </row>
    <row r="184" spans="1:10">
      <c r="A184" s="1159"/>
      <c r="B184" s="1159"/>
      <c r="C184" s="1159"/>
      <c r="D184" s="1159"/>
      <c r="E184" s="1159"/>
      <c r="F184" s="1159"/>
      <c r="G184" s="1159"/>
      <c r="H184" s="1159"/>
      <c r="I184" s="1159"/>
      <c r="J184" s="1159"/>
    </row>
    <row r="185" spans="1:10">
      <c r="A185" s="1159"/>
      <c r="B185" s="1159"/>
      <c r="C185" s="1159"/>
      <c r="D185" s="1159"/>
      <c r="E185" s="1159"/>
      <c r="F185" s="1159"/>
      <c r="G185" s="1159"/>
      <c r="H185" s="1159"/>
      <c r="I185" s="1159"/>
      <c r="J185" s="1159"/>
    </row>
    <row r="186" spans="1:10">
      <c r="A186" s="1159"/>
      <c r="B186" s="1159"/>
      <c r="C186" s="1159"/>
      <c r="D186" s="1159"/>
      <c r="E186" s="1159"/>
      <c r="F186" s="1159"/>
      <c r="G186" s="1159"/>
      <c r="H186" s="1159"/>
      <c r="I186" s="1159"/>
      <c r="J186" s="1159"/>
    </row>
    <row r="187" spans="1:10">
      <c r="A187" s="1159"/>
      <c r="B187" s="1159"/>
      <c r="C187" s="1159"/>
      <c r="D187" s="1159"/>
      <c r="E187" s="1159"/>
      <c r="F187" s="1159"/>
      <c r="G187" s="1159"/>
      <c r="H187" s="1159"/>
      <c r="I187" s="1159"/>
      <c r="J187" s="1159"/>
    </row>
    <row r="188" spans="1:10">
      <c r="A188" s="221"/>
      <c r="B188" s="221"/>
      <c r="C188" s="221"/>
      <c r="D188" s="221"/>
      <c r="E188" s="221"/>
      <c r="F188" s="221"/>
      <c r="G188" s="221"/>
      <c r="H188" s="221"/>
      <c r="I188" s="221"/>
      <c r="J188" s="221"/>
    </row>
    <row r="189" spans="1:10">
      <c r="A189" s="222" t="s">
        <v>258</v>
      </c>
      <c r="B189" s="221" t="s">
        <v>257</v>
      </c>
      <c r="C189" s="223">
        <v>3.5</v>
      </c>
      <c r="D189" s="221" t="s">
        <v>223</v>
      </c>
      <c r="E189" s="221"/>
      <c r="F189" s="49" t="s">
        <v>255</v>
      </c>
      <c r="G189" s="224">
        <v>0.06</v>
      </c>
      <c r="H189" s="221"/>
      <c r="I189" s="221"/>
      <c r="J189" s="221"/>
    </row>
    <row r="190" spans="1:10">
      <c r="B190" s="527" t="s">
        <v>127</v>
      </c>
      <c r="C190" s="2">
        <v>15</v>
      </c>
      <c r="D190" s="49" t="s">
        <v>111</v>
      </c>
      <c r="F190" s="2" t="s">
        <v>256</v>
      </c>
      <c r="G190" s="225">
        <f>(G189)/(1-(1+G189)^(-C190))</f>
        <v>0.10296276395531263</v>
      </c>
      <c r="H190" s="221"/>
      <c r="I190" s="221"/>
      <c r="J190" s="221"/>
    </row>
    <row r="192" spans="1:10">
      <c r="A192" s="1145" t="s">
        <v>250</v>
      </c>
      <c r="B192" s="1146"/>
      <c r="C192" s="1147"/>
      <c r="G192" s="1145" t="s">
        <v>251</v>
      </c>
      <c r="H192" s="1146"/>
      <c r="I192" s="1147"/>
    </row>
    <row r="193" spans="1:9">
      <c r="A193" s="805" t="s">
        <v>925</v>
      </c>
      <c r="B193" s="226">
        <v>0.9</v>
      </c>
      <c r="C193" s="94"/>
      <c r="G193" s="805" t="s">
        <v>925</v>
      </c>
      <c r="H193" s="226">
        <v>0.65</v>
      </c>
      <c r="I193" s="94"/>
    </row>
    <row r="194" spans="1:9">
      <c r="A194" s="805" t="s">
        <v>923</v>
      </c>
      <c r="B194" s="227">
        <v>200</v>
      </c>
      <c r="C194" s="94"/>
      <c r="G194" s="805" t="s">
        <v>923</v>
      </c>
      <c r="H194" s="227">
        <v>400</v>
      </c>
      <c r="I194" s="94"/>
    </row>
    <row r="195" spans="1:9">
      <c r="A195" s="193"/>
      <c r="B195" s="95"/>
      <c r="C195" s="94"/>
      <c r="G195" s="193"/>
      <c r="H195" s="95"/>
      <c r="I195" s="94"/>
    </row>
    <row r="196" spans="1:9">
      <c r="A196" s="193"/>
      <c r="B196" s="95"/>
      <c r="C196" s="94"/>
      <c r="G196" s="193"/>
      <c r="H196" s="95"/>
      <c r="I196" s="94"/>
    </row>
    <row r="197" spans="1:9">
      <c r="A197" s="1286" t="s">
        <v>926</v>
      </c>
      <c r="B197" s="1033"/>
      <c r="C197" s="94"/>
      <c r="G197" s="1032" t="s">
        <v>252</v>
      </c>
      <c r="H197" s="1033"/>
      <c r="I197" s="94"/>
    </row>
    <row r="198" spans="1:9" ht="18">
      <c r="A198" s="228">
        <v>0.18</v>
      </c>
      <c r="B198" s="543" t="s">
        <v>924</v>
      </c>
      <c r="C198" s="94"/>
      <c r="G198" s="228">
        <v>0.05</v>
      </c>
      <c r="H198" s="729" t="s">
        <v>924</v>
      </c>
      <c r="I198" s="94"/>
    </row>
    <row r="199" spans="1:9">
      <c r="A199" s="99" t="s">
        <v>236</v>
      </c>
      <c r="B199" s="229">
        <v>65</v>
      </c>
      <c r="C199" s="98" t="s">
        <v>253</v>
      </c>
      <c r="G199" s="99" t="s">
        <v>254</v>
      </c>
      <c r="H199" s="229">
        <v>18</v>
      </c>
      <c r="I199" s="98" t="s">
        <v>253</v>
      </c>
    </row>
    <row r="201" spans="1:9">
      <c r="A201" s="1272" t="s">
        <v>259</v>
      </c>
      <c r="B201" s="1273"/>
      <c r="C201" s="1273"/>
      <c r="D201" s="1273"/>
      <c r="E201" s="1273"/>
      <c r="F201" s="1273"/>
      <c r="G201" s="1273"/>
      <c r="H201" s="1273"/>
      <c r="I201" s="1271"/>
    </row>
    <row r="203" spans="1:9">
      <c r="A203" s="100" t="s">
        <v>263</v>
      </c>
      <c r="B203" s="101"/>
      <c r="C203" s="92"/>
      <c r="G203" s="100" t="s">
        <v>261</v>
      </c>
      <c r="H203" s="101"/>
      <c r="I203" s="92"/>
    </row>
    <row r="204" spans="1:9">
      <c r="A204" s="805" t="s">
        <v>928</v>
      </c>
      <c r="B204" s="96">
        <f>C189/B193</f>
        <v>3.8888888888888888</v>
      </c>
      <c r="C204" s="230" t="s">
        <v>223</v>
      </c>
      <c r="G204" s="805" t="s">
        <v>928</v>
      </c>
      <c r="H204" s="96">
        <f>C189/H193</f>
        <v>5.3846153846153841</v>
      </c>
      <c r="I204" s="230" t="s">
        <v>223</v>
      </c>
    </row>
    <row r="205" spans="1:9" ht="18">
      <c r="A205" s="193" t="s">
        <v>260</v>
      </c>
      <c r="B205" s="96">
        <f>B204*A198</f>
        <v>0.7</v>
      </c>
      <c r="C205" s="812" t="s">
        <v>927</v>
      </c>
      <c r="G205" s="193" t="s">
        <v>260</v>
      </c>
      <c r="H205" s="96">
        <f>H204*G198</f>
        <v>0.26923076923076922</v>
      </c>
      <c r="I205" s="812" t="s">
        <v>927</v>
      </c>
    </row>
    <row r="206" spans="1:9">
      <c r="A206" s="99" t="s">
        <v>265</v>
      </c>
      <c r="B206" s="231">
        <f>G190*B194+B199*B204</f>
        <v>273.3703305688403</v>
      </c>
      <c r="C206" s="98" t="s">
        <v>262</v>
      </c>
      <c r="G206" s="99" t="s">
        <v>264</v>
      </c>
      <c r="H206" s="231">
        <f>H194*G190+H199*H204</f>
        <v>138.10818250520197</v>
      </c>
      <c r="I206" s="98" t="s">
        <v>262</v>
      </c>
    </row>
    <row r="208" spans="1:9" ht="18">
      <c r="A208" s="213" t="s">
        <v>266</v>
      </c>
      <c r="B208" s="232"/>
      <c r="C208" s="233">
        <f>B206-H206</f>
        <v>135.26214806363834</v>
      </c>
      <c r="D208" s="234" t="s">
        <v>262</v>
      </c>
      <c r="E208" s="213" t="s">
        <v>267</v>
      </c>
      <c r="F208" s="232"/>
      <c r="G208" s="232"/>
      <c r="H208" s="235">
        <f>B205-H205</f>
        <v>0.43076923076923074</v>
      </c>
      <c r="I208" s="835" t="s">
        <v>927</v>
      </c>
    </row>
    <row r="210" spans="1:9" ht="15" customHeight="1">
      <c r="A210" s="1287" t="s">
        <v>929</v>
      </c>
      <c r="B210" s="1119"/>
      <c r="C210" s="1119"/>
      <c r="D210" s="1119"/>
      <c r="E210" s="1119"/>
      <c r="F210" s="1119"/>
      <c r="G210" s="1119"/>
      <c r="H210" s="1119"/>
      <c r="I210" s="1119"/>
    </row>
    <row r="211" spans="1:9">
      <c r="A211" s="1119"/>
      <c r="B211" s="1119"/>
      <c r="C211" s="1119"/>
      <c r="D211" s="1119"/>
      <c r="E211" s="1119"/>
      <c r="F211" s="1119"/>
      <c r="G211" s="1119"/>
      <c r="H211" s="1119"/>
      <c r="I211" s="1119"/>
    </row>
    <row r="212" spans="1:9">
      <c r="A212" s="1119"/>
      <c r="B212" s="1119"/>
      <c r="C212" s="1119"/>
      <c r="D212" s="1119"/>
      <c r="E212" s="1119"/>
      <c r="F212" s="1119"/>
      <c r="G212" s="1119"/>
      <c r="H212" s="1119"/>
      <c r="I212" s="1119"/>
    </row>
    <row r="213" spans="1:9">
      <c r="A213" s="1119"/>
      <c r="B213" s="1119"/>
      <c r="C213" s="1119"/>
      <c r="D213" s="1119"/>
      <c r="E213" s="1119"/>
      <c r="F213" s="1119"/>
      <c r="G213" s="1119"/>
      <c r="H213" s="1119"/>
      <c r="I213" s="1119"/>
    </row>
    <row r="214" spans="1:9">
      <c r="A214" s="1120"/>
      <c r="B214" s="1120"/>
      <c r="C214" s="1120"/>
      <c r="D214" s="1120"/>
      <c r="E214" s="1120"/>
      <c r="F214" s="1120"/>
      <c r="G214" s="1120"/>
      <c r="H214" s="1120"/>
      <c r="I214" s="1120"/>
    </row>
    <row r="216" spans="1:9" ht="15" customHeight="1">
      <c r="A216" s="1013" t="s">
        <v>930</v>
      </c>
      <c r="B216" s="1159"/>
      <c r="C216" s="1159"/>
      <c r="D216" s="1159"/>
      <c r="E216" s="1159"/>
      <c r="F216" s="1159"/>
      <c r="G216" s="1159"/>
      <c r="H216" s="1159"/>
      <c r="I216" s="1159"/>
    </row>
    <row r="217" spans="1:9">
      <c r="A217" s="1159"/>
      <c r="B217" s="1159"/>
      <c r="C217" s="1159"/>
      <c r="D217" s="1159"/>
      <c r="E217" s="1159"/>
      <c r="F217" s="1159"/>
      <c r="G217" s="1159"/>
      <c r="H217" s="1159"/>
      <c r="I217" s="1159"/>
    </row>
    <row r="218" spans="1:9">
      <c r="A218" s="1159"/>
      <c r="B218" s="1159"/>
      <c r="C218" s="1159"/>
      <c r="D218" s="1159"/>
      <c r="E218" s="1159"/>
      <c r="F218" s="1159"/>
      <c r="G218" s="1159"/>
      <c r="H218" s="1159"/>
      <c r="I218" s="1159"/>
    </row>
    <row r="219" spans="1:9">
      <c r="A219" s="1159"/>
      <c r="B219" s="1159"/>
      <c r="C219" s="1159"/>
      <c r="D219" s="1159"/>
      <c r="E219" s="1159"/>
      <c r="F219" s="1159"/>
      <c r="G219" s="1159"/>
      <c r="H219" s="1159"/>
      <c r="I219" s="1159"/>
    </row>
    <row r="220" spans="1:9">
      <c r="A220" s="1159"/>
      <c r="B220" s="1159"/>
      <c r="C220" s="1159"/>
      <c r="D220" s="1159"/>
      <c r="E220" s="1159"/>
      <c r="F220" s="1159"/>
      <c r="G220" s="1159"/>
      <c r="H220" s="1159"/>
      <c r="I220" s="1159"/>
    </row>
    <row r="221" spans="1:9" ht="12" customHeight="1">
      <c r="A221" s="1159"/>
      <c r="B221" s="1159"/>
      <c r="C221" s="1159"/>
      <c r="D221" s="1159"/>
      <c r="E221" s="1159"/>
      <c r="F221" s="1159"/>
      <c r="G221" s="1159"/>
      <c r="H221" s="1159"/>
      <c r="I221" s="1159"/>
    </row>
    <row r="222" spans="1:9">
      <c r="A222" s="49" t="s">
        <v>268</v>
      </c>
      <c r="B222" s="2">
        <v>2.1</v>
      </c>
    </row>
    <row r="223" spans="1:9">
      <c r="A223" s="805" t="s">
        <v>928</v>
      </c>
      <c r="B223" s="105">
        <f>C189/B222</f>
        <v>1.6666666666666665</v>
      </c>
      <c r="C223" s="49" t="s">
        <v>223</v>
      </c>
    </row>
    <row r="224" spans="1:9" ht="14.1" customHeight="1">
      <c r="A224" s="1283" t="s">
        <v>931</v>
      </c>
      <c r="B224" s="1184"/>
      <c r="C224" s="1184"/>
      <c r="D224" s="1184"/>
      <c r="E224" s="1184"/>
      <c r="F224" s="1184"/>
      <c r="G224" s="1184"/>
      <c r="H224" s="1184"/>
      <c r="I224" s="1184"/>
    </row>
    <row r="225" spans="1:9">
      <c r="A225" s="1184"/>
      <c r="B225" s="1184"/>
      <c r="C225" s="1184"/>
      <c r="D225" s="1184"/>
      <c r="E225" s="1184"/>
      <c r="F225" s="1184"/>
      <c r="G225" s="1184"/>
      <c r="H225" s="1184"/>
      <c r="I225" s="1184"/>
    </row>
    <row r="226" spans="1:9">
      <c r="A226" s="805" t="s">
        <v>928</v>
      </c>
      <c r="B226" s="105">
        <f>B223/0.333</f>
        <v>5.0050050050050041</v>
      </c>
      <c r="C226" s="49" t="s">
        <v>223</v>
      </c>
      <c r="D226" s="236" t="s">
        <v>276</v>
      </c>
    </row>
    <row r="227" spans="1:9" ht="18">
      <c r="A227" s="49" t="s">
        <v>260</v>
      </c>
      <c r="B227" s="105">
        <f>B223*A198</f>
        <v>0.3</v>
      </c>
      <c r="C227" s="527" t="s">
        <v>932</v>
      </c>
      <c r="D227" s="236" t="s">
        <v>277</v>
      </c>
    </row>
    <row r="228" spans="1:9">
      <c r="D228" s="87"/>
      <c r="E228" s="87"/>
      <c r="F228" s="87"/>
      <c r="G228" s="87"/>
      <c r="H228" s="87"/>
      <c r="I228" s="87"/>
    </row>
    <row r="229" spans="1:9" ht="15" customHeight="1">
      <c r="A229" s="1121" t="s">
        <v>934</v>
      </c>
      <c r="B229" s="1122"/>
      <c r="C229" s="1122"/>
      <c r="D229" s="1122"/>
      <c r="E229" s="1122"/>
      <c r="F229" s="1122"/>
      <c r="G229" s="1122"/>
      <c r="H229" s="1122"/>
      <c r="I229" s="1122"/>
    </row>
    <row r="230" spans="1:9">
      <c r="A230" s="1123"/>
      <c r="B230" s="1123"/>
      <c r="C230" s="1123"/>
      <c r="D230" s="1123"/>
      <c r="E230" s="1123"/>
      <c r="F230" s="1123"/>
      <c r="G230" s="1123"/>
      <c r="H230" s="1123"/>
      <c r="I230" s="1123"/>
    </row>
    <row r="231" spans="1:9">
      <c r="A231" s="1123"/>
      <c r="B231" s="1123"/>
      <c r="C231" s="1123"/>
      <c r="D231" s="1123"/>
      <c r="E231" s="1123"/>
      <c r="F231" s="1123"/>
      <c r="G231" s="1123"/>
      <c r="H231" s="1123"/>
      <c r="I231" s="1123"/>
    </row>
    <row r="232" spans="1:9">
      <c r="A232" s="1123"/>
      <c r="B232" s="1123"/>
      <c r="C232" s="1123"/>
      <c r="D232" s="1123"/>
      <c r="E232" s="1123"/>
      <c r="F232" s="1123"/>
      <c r="G232" s="1123"/>
      <c r="H232" s="1123"/>
      <c r="I232" s="1123"/>
    </row>
    <row r="233" spans="1:9">
      <c r="A233" s="1123"/>
      <c r="B233" s="1123"/>
      <c r="C233" s="1123"/>
      <c r="D233" s="1123"/>
      <c r="E233" s="1123"/>
      <c r="F233" s="1123"/>
      <c r="G233" s="1123"/>
      <c r="H233" s="1123"/>
      <c r="I233" s="1123"/>
    </row>
    <row r="234" spans="1:9">
      <c r="A234" s="64"/>
      <c r="B234" s="64"/>
      <c r="C234" s="64"/>
      <c r="D234" s="64"/>
      <c r="E234" s="64"/>
      <c r="F234" s="64"/>
      <c r="G234" s="64"/>
      <c r="H234" s="64"/>
      <c r="I234" s="64"/>
    </row>
    <row r="235" spans="1:9">
      <c r="A235" s="529"/>
      <c r="B235" s="1069" t="s">
        <v>935</v>
      </c>
      <c r="C235" s="1069"/>
      <c r="D235" s="1069"/>
      <c r="E235" s="1069"/>
      <c r="F235" s="1069"/>
      <c r="G235" s="1069"/>
      <c r="H235" s="64"/>
      <c r="I235" s="64"/>
    </row>
    <row r="236" spans="1:9">
      <c r="A236" s="529"/>
      <c r="B236" s="1267" t="s">
        <v>139</v>
      </c>
      <c r="C236" s="1267"/>
      <c r="D236" s="1267" t="s">
        <v>92</v>
      </c>
      <c r="E236" s="1267"/>
      <c r="F236" s="1267" t="s">
        <v>269</v>
      </c>
      <c r="G236" s="1267"/>
      <c r="H236" s="64"/>
      <c r="I236" s="64"/>
    </row>
    <row r="237" spans="1:9">
      <c r="A237" s="529"/>
      <c r="B237" s="1288" t="s">
        <v>270</v>
      </c>
      <c r="C237" s="1288"/>
      <c r="D237" s="1288">
        <v>20</v>
      </c>
      <c r="E237" s="1288"/>
      <c r="F237" s="1288">
        <v>20</v>
      </c>
      <c r="G237" s="1288"/>
      <c r="H237" s="64"/>
      <c r="I237" s="64"/>
    </row>
    <row r="238" spans="1:9">
      <c r="A238" s="529"/>
      <c r="B238" s="1288" t="s">
        <v>271</v>
      </c>
      <c r="C238" s="1288"/>
      <c r="D238" s="1288">
        <v>121</v>
      </c>
      <c r="E238" s="1288"/>
      <c r="F238" s="1288">
        <v>533</v>
      </c>
      <c r="G238" s="1288"/>
      <c r="H238" s="64"/>
      <c r="I238" s="64"/>
    </row>
    <row r="239" spans="1:9">
      <c r="A239" s="529"/>
      <c r="B239" s="1288" t="s">
        <v>272</v>
      </c>
      <c r="C239" s="1288"/>
      <c r="D239" s="1288">
        <v>632</v>
      </c>
      <c r="E239" s="1288"/>
      <c r="F239" s="1288">
        <v>126.4</v>
      </c>
      <c r="G239" s="1288"/>
      <c r="H239" s="64"/>
      <c r="I239" s="64"/>
    </row>
    <row r="240" spans="1:9">
      <c r="A240" s="529"/>
      <c r="B240" s="1288" t="s">
        <v>273</v>
      </c>
      <c r="C240" s="1288"/>
      <c r="D240" s="1288">
        <v>139.04</v>
      </c>
      <c r="E240" s="1288"/>
      <c r="F240" s="1288">
        <v>19.21</v>
      </c>
      <c r="G240" s="1288"/>
      <c r="H240" s="64"/>
      <c r="I240" s="64"/>
    </row>
    <row r="241" spans="1:9">
      <c r="A241" s="529"/>
      <c r="B241" s="529"/>
      <c r="C241" s="529"/>
      <c r="D241" s="529"/>
      <c r="E241" s="529"/>
      <c r="F241" s="529"/>
      <c r="G241" s="529"/>
      <c r="H241" s="64"/>
      <c r="I241" s="64"/>
    </row>
    <row r="242" spans="1:9">
      <c r="A242" s="49" t="s">
        <v>274</v>
      </c>
      <c r="B242" s="58">
        <v>0.12</v>
      </c>
    </row>
    <row r="243" spans="1:9">
      <c r="A243" s="527" t="s">
        <v>933</v>
      </c>
      <c r="B243" s="58">
        <v>0.25</v>
      </c>
    </row>
    <row r="244" spans="1:9">
      <c r="C244" s="1257"/>
      <c r="D244" s="1257"/>
      <c r="E244" s="1257"/>
      <c r="F244" s="1257"/>
      <c r="G244" s="1257"/>
    </row>
    <row r="245" spans="1:9">
      <c r="A245" s="2"/>
      <c r="B245" s="2"/>
      <c r="C245" s="237"/>
      <c r="D245" s="238"/>
      <c r="E245" s="238"/>
      <c r="F245" s="238"/>
      <c r="G245" s="238"/>
    </row>
    <row r="246" spans="1:9">
      <c r="A246" s="1264" t="s">
        <v>936</v>
      </c>
      <c r="B246" s="1211"/>
      <c r="C246" s="1211"/>
      <c r="D246" s="1211"/>
      <c r="E246" s="1211"/>
      <c r="F246" s="1211"/>
      <c r="G246" s="1211"/>
      <c r="H246" s="1211"/>
      <c r="I246" s="1212"/>
    </row>
    <row r="247" spans="1:9" ht="14.1" customHeight="1">
      <c r="A247" s="1265"/>
      <c r="B247" s="1119"/>
      <c r="C247" s="1119"/>
      <c r="D247" s="1119"/>
      <c r="E247" s="1119"/>
      <c r="F247" s="1119"/>
      <c r="G247" s="1119"/>
      <c r="H247" s="1119"/>
      <c r="I247" s="1266"/>
    </row>
    <row r="248" spans="1:9">
      <c r="A248" s="1265"/>
      <c r="B248" s="1119"/>
      <c r="C248" s="1119"/>
      <c r="D248" s="1119"/>
      <c r="E248" s="1119"/>
      <c r="F248" s="1119"/>
      <c r="G248" s="1119"/>
      <c r="H248" s="1119"/>
      <c r="I248" s="1266"/>
    </row>
    <row r="249" spans="1:9">
      <c r="A249" s="1265"/>
      <c r="B249" s="1119"/>
      <c r="C249" s="1119"/>
      <c r="D249" s="1119"/>
      <c r="E249" s="1119"/>
      <c r="F249" s="1119"/>
      <c r="G249" s="1119"/>
      <c r="H249" s="1119"/>
      <c r="I249" s="1266"/>
    </row>
    <row r="250" spans="1:9">
      <c r="A250" s="1265"/>
      <c r="B250" s="1119"/>
      <c r="C250" s="1119"/>
      <c r="D250" s="1119"/>
      <c r="E250" s="1119"/>
      <c r="F250" s="1119"/>
      <c r="G250" s="1119"/>
      <c r="H250" s="1119"/>
      <c r="I250" s="1266"/>
    </row>
    <row r="251" spans="1:9">
      <c r="A251" s="1265"/>
      <c r="B251" s="1119"/>
      <c r="C251" s="1119"/>
      <c r="D251" s="1119"/>
      <c r="E251" s="1119"/>
      <c r="F251" s="1119"/>
      <c r="G251" s="1119"/>
      <c r="H251" s="1119"/>
      <c r="I251" s="1266"/>
    </row>
    <row r="252" spans="1:9">
      <c r="A252" s="1213"/>
      <c r="B252" s="1120"/>
      <c r="C252" s="1120"/>
      <c r="D252" s="1120"/>
      <c r="E252" s="1120"/>
      <c r="F252" s="1120"/>
      <c r="G252" s="1120"/>
      <c r="H252" s="1120"/>
      <c r="I252" s="1214"/>
    </row>
    <row r="253" spans="1:9" ht="15.75" thickBot="1">
      <c r="A253" s="239"/>
      <c r="B253" s="239"/>
      <c r="C253" s="239"/>
      <c r="D253" s="239"/>
      <c r="E253" s="239"/>
      <c r="F253" s="239"/>
      <c r="G253" s="239"/>
      <c r="H253" s="239"/>
      <c r="I253" s="239"/>
    </row>
    <row r="254" spans="1:9" ht="17.100000000000001" customHeight="1" thickBot="1">
      <c r="A254" s="1258" t="s">
        <v>937</v>
      </c>
      <c r="B254" s="1259"/>
      <c r="C254" s="1259"/>
      <c r="D254" s="1260"/>
      <c r="E254" s="240" t="s">
        <v>113</v>
      </c>
      <c r="F254" s="241" t="s">
        <v>699</v>
      </c>
      <c r="G254" s="242" t="s">
        <v>700</v>
      </c>
      <c r="I254" s="239"/>
    </row>
    <row r="255" spans="1:9" ht="15.75" thickBot="1">
      <c r="A255" s="1261"/>
      <c r="B255" s="1262"/>
      <c r="C255" s="1262"/>
      <c r="D255" s="1263"/>
      <c r="E255" s="243">
        <v>0.1</v>
      </c>
      <c r="F255" s="244">
        <f t="shared" ref="F255:F295" si="0">NPV(E255,$B$258:$B$277)+$B$257</f>
        <v>-1654.4630972029115</v>
      </c>
      <c r="G255" s="245">
        <f t="shared" ref="G255:G295" si="1">NPV(E255,$C$258:$C$277)+$C$257</f>
        <v>-766.4929985780982</v>
      </c>
      <c r="I255" s="239"/>
    </row>
    <row r="256" spans="1:9">
      <c r="A256" s="246" t="s">
        <v>298</v>
      </c>
      <c r="B256" s="247" t="s">
        <v>633</v>
      </c>
      <c r="C256" s="247" t="s">
        <v>634</v>
      </c>
      <c r="D256" s="248" t="s">
        <v>938</v>
      </c>
      <c r="E256" s="249">
        <f>E255+0.01</f>
        <v>0.11</v>
      </c>
      <c r="F256" s="250">
        <f t="shared" si="0"/>
        <v>-1555.3546605001213</v>
      </c>
      <c r="G256" s="251">
        <f t="shared" si="1"/>
        <v>-751.40223694690394</v>
      </c>
      <c r="I256" s="239"/>
    </row>
    <row r="257" spans="1:9">
      <c r="A257" s="252">
        <v>0</v>
      </c>
      <c r="B257" s="253">
        <f>-D238</f>
        <v>-121</v>
      </c>
      <c r="C257" s="253">
        <f>-F238</f>
        <v>-533</v>
      </c>
      <c r="D257" s="254">
        <f>C257-B257</f>
        <v>-412</v>
      </c>
      <c r="E257" s="249">
        <f t="shared" ref="E257:E279" si="2">E256+0.01</f>
        <v>0.12</v>
      </c>
      <c r="F257" s="250">
        <f t="shared" si="0"/>
        <v>-1466.396185613886</v>
      </c>
      <c r="G257" s="251">
        <f t="shared" si="1"/>
        <v>-737.8569608408086</v>
      </c>
      <c r="I257" s="239"/>
    </row>
    <row r="258" spans="1:9">
      <c r="A258" s="252">
        <v>1</v>
      </c>
      <c r="B258" s="253">
        <f>-D240-D239*B199/1000</f>
        <v>-180.12</v>
      </c>
      <c r="C258" s="253">
        <f>-F240-F239*B199/1000</f>
        <v>-27.426000000000002</v>
      </c>
      <c r="D258" s="254">
        <f t="shared" ref="D258:D277" si="3">C258-B258</f>
        <v>152.69400000000002</v>
      </c>
      <c r="E258" s="249">
        <f t="shared" si="2"/>
        <v>0.13</v>
      </c>
      <c r="F258" s="250">
        <f t="shared" si="0"/>
        <v>-1386.2982542408893</v>
      </c>
      <c r="G258" s="251">
        <f t="shared" si="1"/>
        <v>-725.66083677998358</v>
      </c>
      <c r="I258" s="239"/>
    </row>
    <row r="259" spans="1:9">
      <c r="A259" s="252">
        <v>2</v>
      </c>
      <c r="B259" s="253">
        <f>B258</f>
        <v>-180.12</v>
      </c>
      <c r="C259" s="253">
        <f>C258</f>
        <v>-27.426000000000002</v>
      </c>
      <c r="D259" s="254">
        <f t="shared" si="3"/>
        <v>152.69400000000002</v>
      </c>
      <c r="E259" s="249">
        <f t="shared" si="2"/>
        <v>0.14000000000000001</v>
      </c>
      <c r="F259" s="250">
        <f t="shared" si="0"/>
        <v>-1313.9582749570627</v>
      </c>
      <c r="G259" s="251">
        <f t="shared" si="1"/>
        <v>-714.64597850861878</v>
      </c>
      <c r="I259" s="239"/>
    </row>
    <row r="260" spans="1:9">
      <c r="A260" s="252">
        <v>3</v>
      </c>
      <c r="B260" s="253">
        <f t="shared" ref="B260:B277" si="4">B259</f>
        <v>-180.12</v>
      </c>
      <c r="C260" s="253">
        <f t="shared" ref="C260:C277" si="5">C259</f>
        <v>-27.426000000000002</v>
      </c>
      <c r="D260" s="254">
        <f t="shared" si="3"/>
        <v>152.69400000000002</v>
      </c>
      <c r="E260" s="249">
        <f t="shared" si="2"/>
        <v>0.15000000000000002</v>
      </c>
      <c r="F260" s="250">
        <f t="shared" si="0"/>
        <v>-1248.4307850481846</v>
      </c>
      <c r="G260" s="251">
        <f t="shared" si="1"/>
        <v>-704.66842499850941</v>
      </c>
      <c r="I260" s="239"/>
    </row>
    <row r="261" spans="1:9">
      <c r="A261" s="252">
        <v>4</v>
      </c>
      <c r="B261" s="253">
        <f t="shared" si="4"/>
        <v>-180.12</v>
      </c>
      <c r="C261" s="253">
        <f t="shared" si="5"/>
        <v>-27.426000000000002</v>
      </c>
      <c r="D261" s="254">
        <f t="shared" si="3"/>
        <v>152.69400000000002</v>
      </c>
      <c r="E261" s="249">
        <f t="shared" si="2"/>
        <v>0.16000000000000003</v>
      </c>
      <c r="F261" s="250">
        <f t="shared" si="0"/>
        <v>-1188.9028228273639</v>
      </c>
      <c r="G261" s="251">
        <f t="shared" si="1"/>
        <v>-695.60439051112189</v>
      </c>
      <c r="I261" s="239"/>
    </row>
    <row r="262" spans="1:9">
      <c r="A262" s="252">
        <v>5</v>
      </c>
      <c r="B262" s="253">
        <f t="shared" si="4"/>
        <v>-180.12</v>
      </c>
      <c r="C262" s="253">
        <f t="shared" si="5"/>
        <v>-27.426000000000002</v>
      </c>
      <c r="D262" s="254">
        <f t="shared" si="3"/>
        <v>152.69400000000002</v>
      </c>
      <c r="E262" s="249">
        <f t="shared" si="2"/>
        <v>0.17000000000000004</v>
      </c>
      <c r="F262" s="250">
        <f t="shared" si="0"/>
        <v>-1134.6734525982554</v>
      </c>
      <c r="G262" s="251">
        <f t="shared" si="1"/>
        <v>-687.34714696291212</v>
      </c>
      <c r="I262" s="239"/>
    </row>
    <row r="263" spans="1:9">
      <c r="A263" s="252">
        <v>6</v>
      </c>
      <c r="B263" s="253">
        <f t="shared" si="4"/>
        <v>-180.12</v>
      </c>
      <c r="C263" s="253">
        <f t="shared" si="5"/>
        <v>-27.426000000000002</v>
      </c>
      <c r="D263" s="254">
        <f t="shared" si="3"/>
        <v>152.69400000000002</v>
      </c>
      <c r="E263" s="249">
        <f t="shared" si="2"/>
        <v>0.18000000000000005</v>
      </c>
      <c r="F263" s="250">
        <f t="shared" si="0"/>
        <v>-1085.1366990626746</v>
      </c>
      <c r="G263" s="251">
        <f t="shared" si="1"/>
        <v>-679.80442543022934</v>
      </c>
      <c r="I263" s="239"/>
    </row>
    <row r="264" spans="1:9">
      <c r="A264" s="252">
        <v>7</v>
      </c>
      <c r="B264" s="253">
        <f t="shared" si="4"/>
        <v>-180.12</v>
      </c>
      <c r="C264" s="253">
        <f t="shared" si="5"/>
        <v>-27.426000000000002</v>
      </c>
      <c r="D264" s="254">
        <f t="shared" si="3"/>
        <v>152.69400000000002</v>
      </c>
      <c r="E264" s="249">
        <f t="shared" si="2"/>
        <v>0.19000000000000006</v>
      </c>
      <c r="F264" s="250">
        <f t="shared" si="0"/>
        <v>-1039.7672878954045</v>
      </c>
      <c r="G264" s="251">
        <f t="shared" si="1"/>
        <v>-672.89624493570591</v>
      </c>
      <c r="I264" s="239"/>
    </row>
    <row r="265" spans="1:9">
      <c r="A265" s="252">
        <v>8</v>
      </c>
      <c r="B265" s="253">
        <f t="shared" si="4"/>
        <v>-180.12</v>
      </c>
      <c r="C265" s="253">
        <f t="shared" si="5"/>
        <v>-27.426000000000002</v>
      </c>
      <c r="D265" s="254">
        <f t="shared" si="3"/>
        <v>152.69400000000002</v>
      </c>
      <c r="E265" s="249">
        <f t="shared" si="2"/>
        <v>0.20000000000000007</v>
      </c>
      <c r="F265" s="250">
        <f t="shared" si="0"/>
        <v>-998.10870159388674</v>
      </c>
      <c r="G265" s="251">
        <f t="shared" si="1"/>
        <v>-666.55309377034155</v>
      </c>
      <c r="I265" s="239"/>
    </row>
    <row r="266" spans="1:9">
      <c r="A266" s="252">
        <v>9</v>
      </c>
      <c r="B266" s="253">
        <f t="shared" si="4"/>
        <v>-180.12</v>
      </c>
      <c r="C266" s="253">
        <f t="shared" si="5"/>
        <v>-27.426000000000002</v>
      </c>
      <c r="D266" s="254">
        <f t="shared" si="3"/>
        <v>152.69400000000002</v>
      </c>
      <c r="E266" s="249">
        <f t="shared" si="2"/>
        <v>0.21000000000000008</v>
      </c>
      <c r="F266" s="250">
        <f t="shared" si="0"/>
        <v>-959.76315019633034</v>
      </c>
      <c r="G266" s="251">
        <f t="shared" si="1"/>
        <v>-660.71440238332536</v>
      </c>
      <c r="I266" s="239"/>
    </row>
    <row r="267" spans="1:9">
      <c r="A267" s="252">
        <v>10</v>
      </c>
      <c r="B267" s="253">
        <f t="shared" si="4"/>
        <v>-180.12</v>
      </c>
      <c r="C267" s="253">
        <f t="shared" si="5"/>
        <v>-27.426000000000002</v>
      </c>
      <c r="D267" s="254">
        <f t="shared" si="3"/>
        <v>152.69400000000002</v>
      </c>
      <c r="E267" s="249">
        <f t="shared" si="2"/>
        <v>0.22000000000000008</v>
      </c>
      <c r="F267" s="250">
        <f t="shared" si="0"/>
        <v>-924.38312949007582</v>
      </c>
      <c r="G267" s="251">
        <f t="shared" si="1"/>
        <v>-655.32725799131026</v>
      </c>
      <c r="I267" s="239"/>
    </row>
    <row r="268" spans="1:9">
      <c r="A268" s="252">
        <v>11</v>
      </c>
      <c r="B268" s="253">
        <f t="shared" si="4"/>
        <v>-180.12</v>
      </c>
      <c r="C268" s="253">
        <f t="shared" si="5"/>
        <v>-27.426000000000002</v>
      </c>
      <c r="D268" s="254">
        <f t="shared" si="3"/>
        <v>152.69400000000002</v>
      </c>
      <c r="E268" s="249">
        <f t="shared" si="2"/>
        <v>0.23000000000000009</v>
      </c>
      <c r="F268" s="250">
        <f t="shared" si="0"/>
        <v>-891.66429841106401</v>
      </c>
      <c r="G268" s="251">
        <f t="shared" si="1"/>
        <v>-650.34532005452945</v>
      </c>
      <c r="I268" s="239"/>
    </row>
    <row r="269" spans="1:9">
      <c r="A269" s="252">
        <v>12</v>
      </c>
      <c r="B269" s="253">
        <f t="shared" si="4"/>
        <v>-180.12</v>
      </c>
      <c r="C269" s="253">
        <f t="shared" si="5"/>
        <v>-27.426000000000002</v>
      </c>
      <c r="D269" s="254">
        <f t="shared" si="3"/>
        <v>152.69400000000002</v>
      </c>
      <c r="E269" s="249">
        <f t="shared" si="2"/>
        <v>0.2400000000000001</v>
      </c>
      <c r="F269" s="250">
        <f t="shared" si="0"/>
        <v>-861.3394552408995</v>
      </c>
      <c r="G269" s="251">
        <f t="shared" si="1"/>
        <v>-645.72790306149739</v>
      </c>
      <c r="I269" s="239"/>
    </row>
    <row r="270" spans="1:9">
      <c r="A270" s="252">
        <v>13</v>
      </c>
      <c r="B270" s="253">
        <f t="shared" si="4"/>
        <v>-180.12</v>
      </c>
      <c r="C270" s="253">
        <f t="shared" si="5"/>
        <v>-27.426000000000002</v>
      </c>
      <c r="D270" s="254">
        <f t="shared" si="3"/>
        <v>152.69400000000002</v>
      </c>
      <c r="E270" s="249">
        <f t="shared" si="2"/>
        <v>0.25000000000000011</v>
      </c>
      <c r="F270" s="250">
        <f t="shared" si="0"/>
        <v>-833.1734311436087</v>
      </c>
      <c r="G270" s="251">
        <f t="shared" si="1"/>
        <v>-641.43919899258617</v>
      </c>
      <c r="I270" s="239"/>
    </row>
    <row r="271" spans="1:9">
      <c r="A271" s="252">
        <v>14</v>
      </c>
      <c r="B271" s="253">
        <f t="shared" si="4"/>
        <v>-180.12</v>
      </c>
      <c r="C271" s="253">
        <f t="shared" si="5"/>
        <v>-27.426000000000002</v>
      </c>
      <c r="D271" s="254">
        <f t="shared" si="3"/>
        <v>152.69400000000002</v>
      </c>
      <c r="E271" s="249">
        <f t="shared" si="2"/>
        <v>0.26000000000000012</v>
      </c>
      <c r="F271" s="250">
        <f t="shared" si="0"/>
        <v>-806.95875130131083</v>
      </c>
      <c r="G271" s="251">
        <f t="shared" si="1"/>
        <v>-637.44761666216834</v>
      </c>
      <c r="I271" s="239"/>
    </row>
    <row r="272" spans="1:9">
      <c r="A272" s="252">
        <v>15</v>
      </c>
      <c r="B272" s="253">
        <f t="shared" si="4"/>
        <v>-180.12</v>
      </c>
      <c r="C272" s="253">
        <f t="shared" si="5"/>
        <v>-27.426000000000002</v>
      </c>
      <c r="D272" s="254">
        <f t="shared" si="3"/>
        <v>152.69400000000002</v>
      </c>
      <c r="E272" s="249">
        <f t="shared" si="2"/>
        <v>0.27000000000000013</v>
      </c>
      <c r="F272" s="250">
        <f t="shared" si="0"/>
        <v>-782.51193980350013</v>
      </c>
      <c r="G272" s="251">
        <f t="shared" si="1"/>
        <v>-633.72521908200531</v>
      </c>
      <c r="I272" s="239"/>
    </row>
    <row r="273" spans="1:16">
      <c r="A273" s="252">
        <v>16</v>
      </c>
      <c r="B273" s="253">
        <f t="shared" si="4"/>
        <v>-180.12</v>
      </c>
      <c r="C273" s="253">
        <f t="shared" si="5"/>
        <v>-27.426000000000002</v>
      </c>
      <c r="D273" s="254">
        <f t="shared" si="3"/>
        <v>152.69400000000002</v>
      </c>
      <c r="E273" s="249">
        <f t="shared" si="2"/>
        <v>0.28000000000000014</v>
      </c>
      <c r="F273" s="250">
        <f t="shared" si="0"/>
        <v>-759.67036563393447</v>
      </c>
      <c r="G273" s="251">
        <f t="shared" si="1"/>
        <v>-630.24724321494716</v>
      </c>
      <c r="I273" s="239"/>
    </row>
    <row r="274" spans="1:16">
      <c r="A274" s="252">
        <v>17</v>
      </c>
      <c r="B274" s="253">
        <f t="shared" si="4"/>
        <v>-180.12</v>
      </c>
      <c r="C274" s="253">
        <f t="shared" si="5"/>
        <v>-27.426000000000002</v>
      </c>
      <c r="D274" s="254">
        <f t="shared" si="3"/>
        <v>152.69400000000002</v>
      </c>
      <c r="E274" s="249">
        <f t="shared" si="2"/>
        <v>0.29000000000000015</v>
      </c>
      <c r="F274" s="250">
        <f t="shared" si="0"/>
        <v>-738.28954447599028</v>
      </c>
      <c r="G274" s="251">
        <f t="shared" si="1"/>
        <v>-626.99168913390247</v>
      </c>
      <c r="I274" s="239"/>
    </row>
    <row r="275" spans="1:16">
      <c r="A275" s="252">
        <v>18</v>
      </c>
      <c r="B275" s="253">
        <f t="shared" si="4"/>
        <v>-180.12</v>
      </c>
      <c r="C275" s="253">
        <f t="shared" si="5"/>
        <v>-27.426000000000002</v>
      </c>
      <c r="D275" s="254">
        <f t="shared" si="3"/>
        <v>152.69400000000002</v>
      </c>
      <c r="E275" s="249">
        <f t="shared" si="2"/>
        <v>0.30000000000000016</v>
      </c>
      <c r="F275" s="250">
        <f t="shared" si="0"/>
        <v>-718.24082533851697</v>
      </c>
      <c r="G275" s="251">
        <f t="shared" si="1"/>
        <v>-623.93896777556165</v>
      </c>
      <c r="I275" s="239"/>
    </row>
    <row r="276" spans="1:16">
      <c r="A276" s="252">
        <v>19</v>
      </c>
      <c r="B276" s="253">
        <f t="shared" si="4"/>
        <v>-180.12</v>
      </c>
      <c r="C276" s="253">
        <f t="shared" si="5"/>
        <v>-27.426000000000002</v>
      </c>
      <c r="D276" s="254">
        <f t="shared" si="3"/>
        <v>152.69400000000002</v>
      </c>
      <c r="E276" s="249">
        <f t="shared" si="2"/>
        <v>0.31000000000000016</v>
      </c>
      <c r="F276" s="250">
        <f t="shared" si="0"/>
        <v>-699.40940276673837</v>
      </c>
      <c r="G276" s="251">
        <f t="shared" si="1"/>
        <v>-621.07159826937914</v>
      </c>
      <c r="I276" s="239"/>
    </row>
    <row r="277" spans="1:16">
      <c r="A277" s="252">
        <v>20</v>
      </c>
      <c r="B277" s="253">
        <f t="shared" si="4"/>
        <v>-180.12</v>
      </c>
      <c r="C277" s="253">
        <f t="shared" si="5"/>
        <v>-27.426000000000002</v>
      </c>
      <c r="D277" s="254">
        <f t="shared" si="3"/>
        <v>152.69400000000002</v>
      </c>
      <c r="E277" s="249">
        <f t="shared" si="2"/>
        <v>0.32000000000000017</v>
      </c>
      <c r="F277" s="250">
        <f t="shared" si="0"/>
        <v>-681.69260511119785</v>
      </c>
      <c r="G277" s="251">
        <f t="shared" si="1"/>
        <v>-618.37394730057588</v>
      </c>
      <c r="I277" s="239"/>
    </row>
    <row r="278" spans="1:16">
      <c r="A278" s="252" t="s">
        <v>632</v>
      </c>
      <c r="B278" s="255">
        <f>SUM(B257:B277)</f>
        <v>-3723.3999999999987</v>
      </c>
      <c r="C278" s="255">
        <f>SUM(C257:C277)</f>
        <v>-1081.5200000000007</v>
      </c>
      <c r="D278" s="254">
        <f>SUM(D257:D277)</f>
        <v>2641.8799999999997</v>
      </c>
      <c r="E278" s="249">
        <f t="shared" si="2"/>
        <v>0.33000000000000018</v>
      </c>
      <c r="F278" s="250">
        <f t="shared" si="0"/>
        <v>-664.99841735790767</v>
      </c>
      <c r="G278" s="251">
        <f t="shared" si="1"/>
        <v>-615.83200418864078</v>
      </c>
      <c r="I278" s="239"/>
    </row>
    <row r="279" spans="1:16">
      <c r="A279" s="252" t="s">
        <v>701</v>
      </c>
      <c r="B279" s="255">
        <f>NPV($B$242,B258:B277)+B257</f>
        <v>-1466.396185613886</v>
      </c>
      <c r="C279" s="255">
        <f t="shared" ref="C279:D279" si="6">NPV($B$242,C258:C277)+C257</f>
        <v>-737.8569608408086</v>
      </c>
      <c r="D279" s="254">
        <f t="shared" si="6"/>
        <v>728.53922477307742</v>
      </c>
      <c r="E279" s="249">
        <f t="shared" si="2"/>
        <v>0.34000000000000019</v>
      </c>
      <c r="F279" s="250">
        <f t="shared" si="0"/>
        <v>-649.24420367851758</v>
      </c>
      <c r="G279" s="251">
        <f t="shared" si="1"/>
        <v>-613.43318637623258</v>
      </c>
      <c r="I279" s="239"/>
    </row>
    <row r="280" spans="1:16" ht="15.75" thickBot="1">
      <c r="A280" s="256" t="s">
        <v>702</v>
      </c>
      <c r="B280" s="257">
        <f>NPV($B$243,B258:B277)+B257</f>
        <v>-833.1734311436087</v>
      </c>
      <c r="C280" s="257">
        <f t="shared" ref="C280:D280" si="7">NPV($B$243,C258:C277)+C257</f>
        <v>-641.43919899258617</v>
      </c>
      <c r="D280" s="258">
        <f t="shared" si="7"/>
        <v>191.73423215102252</v>
      </c>
      <c r="E280" s="249">
        <f>E279+0.01</f>
        <v>0.3500000000000002</v>
      </c>
      <c r="F280" s="250">
        <f t="shared" si="0"/>
        <v>-634.3556003872734</v>
      </c>
      <c r="G280" s="251">
        <f t="shared" si="1"/>
        <v>-611.16617086509746</v>
      </c>
      <c r="I280" s="239"/>
    </row>
    <row r="281" spans="1:16">
      <c r="A281" s="259"/>
      <c r="B281" s="260"/>
      <c r="C281" s="260"/>
      <c r="D281" s="260"/>
      <c r="E281" s="249">
        <f t="shared" ref="E281:E294" si="8">E280+0.01</f>
        <v>0.36000000000000021</v>
      </c>
      <c r="F281" s="250">
        <f t="shared" si="0"/>
        <v>-620.26555459203473</v>
      </c>
      <c r="G281" s="251">
        <f t="shared" si="1"/>
        <v>-609.02074783611556</v>
      </c>
      <c r="I281" s="239"/>
    </row>
    <row r="282" spans="1:16">
      <c r="A282" s="259"/>
      <c r="B282" s="260"/>
      <c r="C282" s="260"/>
      <c r="D282" s="260"/>
      <c r="E282" s="249">
        <v>0.37</v>
      </c>
      <c r="F282" s="250">
        <f t="shared" si="0"/>
        <v>-606.91348766317378</v>
      </c>
      <c r="G282" s="251">
        <f t="shared" si="1"/>
        <v>-606.98769327476236</v>
      </c>
      <c r="I282" s="239"/>
      <c r="N282" s="261"/>
      <c r="O282" s="261"/>
      <c r="P282" s="261"/>
    </row>
    <row r="283" spans="1:16">
      <c r="A283" s="259"/>
      <c r="B283" s="260"/>
      <c r="C283" s="260"/>
      <c r="D283" s="260"/>
      <c r="E283" s="249">
        <f t="shared" si="8"/>
        <v>0.38</v>
      </c>
      <c r="F283" s="250">
        <f t="shared" si="0"/>
        <v>-594.24456584984796</v>
      </c>
      <c r="G283" s="251">
        <f t="shared" si="1"/>
        <v>-605.05865791138092</v>
      </c>
      <c r="I283" s="239"/>
    </row>
    <row r="284" spans="1:16">
      <c r="A284" s="259"/>
      <c r="B284" s="260"/>
      <c r="C284" s="260"/>
      <c r="D284" s="260"/>
      <c r="E284" s="249">
        <f t="shared" si="8"/>
        <v>0.39</v>
      </c>
      <c r="F284" s="250">
        <f t="shared" si="0"/>
        <v>-582.20906305708809</v>
      </c>
      <c r="G284" s="251">
        <f t="shared" si="1"/>
        <v>-603.22607019433542</v>
      </c>
      <c r="I284" s="239"/>
    </row>
    <row r="285" spans="1:16">
      <c r="B285" s="2"/>
      <c r="C285" s="2"/>
      <c r="D285" s="2"/>
      <c r="E285" s="249">
        <f t="shared" si="8"/>
        <v>0.4</v>
      </c>
      <c r="F285" s="250">
        <f t="shared" si="0"/>
        <v>-570.76180304858622</v>
      </c>
      <c r="G285" s="251">
        <f t="shared" si="1"/>
        <v>-601.4830513569317</v>
      </c>
      <c r="I285" s="239"/>
    </row>
    <row r="286" spans="1:16">
      <c r="B286" s="2"/>
      <c r="C286" s="2"/>
      <c r="D286" s="2"/>
      <c r="E286" s="249">
        <f>E285+0.01</f>
        <v>0.41000000000000003</v>
      </c>
      <c r="F286" s="250">
        <f t="shared" si="0"/>
        <v>-559.8616702323593</v>
      </c>
      <c r="G286" s="251">
        <f t="shared" si="1"/>
        <v>-599.82334092711903</v>
      </c>
      <c r="I286" s="239"/>
    </row>
    <row r="287" spans="1:16">
      <c r="B287" s="2"/>
      <c r="C287" s="2"/>
      <c r="D287" s="2"/>
      <c r="E287" s="249">
        <f t="shared" si="8"/>
        <v>0.42000000000000004</v>
      </c>
      <c r="F287" s="250">
        <f t="shared" si="0"/>
        <v>-549.47117977998573</v>
      </c>
      <c r="G287" s="251">
        <f t="shared" si="1"/>
        <v>-598.24123127162943</v>
      </c>
      <c r="I287" s="239"/>
    </row>
    <row r="288" spans="1:16">
      <c r="B288" s="2"/>
      <c r="C288" s="2"/>
      <c r="D288" s="2"/>
      <c r="E288" s="249">
        <f t="shared" si="8"/>
        <v>0.43000000000000005</v>
      </c>
      <c r="F288" s="250">
        <f t="shared" si="0"/>
        <v>-539.55609917448021</v>
      </c>
      <c r="G288" s="251">
        <f t="shared" si="1"/>
        <v>-596.73150997090443</v>
      </c>
      <c r="I288" s="239"/>
    </row>
    <row r="289" spans="1:29">
      <c r="B289" s="2"/>
      <c r="C289" s="2"/>
      <c r="D289" s="2"/>
      <c r="E289" s="249">
        <f t="shared" si="8"/>
        <v>0.44000000000000006</v>
      </c>
      <c r="F289" s="250">
        <f t="shared" si="0"/>
        <v>-530.08511441826408</v>
      </c>
      <c r="G289" s="251">
        <f t="shared" si="1"/>
        <v>-595.28940899420002</v>
      </c>
      <c r="I289" s="239"/>
    </row>
    <row r="290" spans="1:29">
      <c r="B290" s="2"/>
      <c r="C290" s="2"/>
      <c r="D290" s="2"/>
      <c r="E290" s="249">
        <f t="shared" si="8"/>
        <v>0.45000000000000007</v>
      </c>
      <c r="F290" s="250">
        <f t="shared" si="0"/>
        <v>-521.02953509495751</v>
      </c>
      <c r="G290" s="251">
        <f t="shared" si="1"/>
        <v>-593.91055979077453</v>
      </c>
      <c r="I290" s="239"/>
    </row>
    <row r="291" spans="1:29">
      <c r="B291" s="2"/>
      <c r="C291" s="2"/>
      <c r="D291" s="2"/>
      <c r="E291" s="249">
        <f t="shared" si="8"/>
        <v>0.46000000000000008</v>
      </c>
      <c r="F291" s="250">
        <f t="shared" si="0"/>
        <v>-512.36303329513987</v>
      </c>
      <c r="G291" s="251">
        <f t="shared" si="1"/>
        <v>-592.59095353737791</v>
      </c>
      <c r="I291" s="239"/>
    </row>
    <row r="292" spans="1:29">
      <c r="B292" s="2"/>
      <c r="C292" s="2"/>
      <c r="D292" s="2"/>
      <c r="E292" s="249">
        <f t="shared" si="8"/>
        <v>0.47000000000000008</v>
      </c>
      <c r="F292" s="250">
        <f t="shared" si="0"/>
        <v>-504.06141211004052</v>
      </c>
      <c r="G292" s="251">
        <f t="shared" si="1"/>
        <v>-591.32690588790797</v>
      </c>
      <c r="I292" s="239"/>
    </row>
    <row r="293" spans="1:29">
      <c r="B293" s="2"/>
      <c r="C293" s="2"/>
      <c r="D293" s="2"/>
      <c r="E293" s="249">
        <f t="shared" si="8"/>
        <v>0.48000000000000009</v>
      </c>
      <c r="F293" s="250">
        <f t="shared" si="0"/>
        <v>-496.10239998792503</v>
      </c>
      <c r="G293" s="251">
        <f t="shared" si="1"/>
        <v>-590.11502566105275</v>
      </c>
      <c r="I293" s="239"/>
    </row>
    <row r="294" spans="1:29">
      <c r="B294" s="2"/>
      <c r="C294" s="2"/>
      <c r="D294" s="2"/>
      <c r="E294" s="249">
        <f t="shared" si="8"/>
        <v>0.4900000000000001</v>
      </c>
      <c r="F294" s="250">
        <f t="shared" si="0"/>
        <v>-488.46546775179439</v>
      </c>
      <c r="G294" s="251">
        <f t="shared" si="1"/>
        <v>-588.95218697846281</v>
      </c>
      <c r="I294" s="239"/>
    </row>
    <row r="295" spans="1:29" ht="15.75" thickBot="1">
      <c r="B295" s="2"/>
      <c r="C295" s="2"/>
      <c r="D295" s="2"/>
      <c r="E295" s="262">
        <f>E294+0.01</f>
        <v>0.50000000000000011</v>
      </c>
      <c r="F295" s="263">
        <f t="shared" si="0"/>
        <v>-481.13166550758575</v>
      </c>
      <c r="G295" s="264">
        <f t="shared" si="1"/>
        <v>-587.8355044315515</v>
      </c>
      <c r="I295" s="239"/>
    </row>
    <row r="296" spans="1:29">
      <c r="A296" s="239"/>
      <c r="B296" s="239"/>
      <c r="C296" s="239"/>
      <c r="D296" s="239"/>
      <c r="E296" s="239"/>
      <c r="F296" s="239"/>
      <c r="G296" s="239"/>
      <c r="H296" s="239"/>
      <c r="I296" s="239"/>
    </row>
    <row r="297" spans="1:29">
      <c r="A297" s="239"/>
      <c r="B297" s="239"/>
      <c r="C297" s="239"/>
      <c r="D297" s="239"/>
      <c r="E297" s="239"/>
      <c r="F297" s="239"/>
      <c r="G297" s="239"/>
      <c r="H297" s="239"/>
      <c r="I297" s="239"/>
    </row>
    <row r="298" spans="1:29">
      <c r="A298" s="87"/>
      <c r="B298" s="87"/>
      <c r="C298" s="87"/>
      <c r="D298" s="87"/>
      <c r="E298" s="87"/>
      <c r="F298" s="87"/>
      <c r="G298" s="87"/>
      <c r="H298" s="87"/>
      <c r="I298" s="87"/>
      <c r="J298" s="87"/>
    </row>
    <row r="299" spans="1:29">
      <c r="A299" s="1121" t="s">
        <v>943</v>
      </c>
      <c r="B299" s="1122"/>
      <c r="C299" s="1122"/>
      <c r="D299" s="1122"/>
      <c r="E299" s="1122"/>
      <c r="F299" s="1122"/>
      <c r="G299" s="1122"/>
      <c r="H299" s="1122"/>
      <c r="I299" s="1122"/>
      <c r="J299" s="1122"/>
      <c r="K299" s="265"/>
      <c r="L299" s="265"/>
      <c r="M299" s="265"/>
      <c r="N299" s="265"/>
      <c r="O299" s="265"/>
      <c r="P299" s="265"/>
      <c r="Q299" s="265"/>
      <c r="R299" s="265"/>
      <c r="S299" s="265"/>
      <c r="T299" s="265"/>
      <c r="U299" s="265"/>
      <c r="V299" s="265"/>
      <c r="W299" s="265"/>
      <c r="X299" s="265"/>
      <c r="Y299" s="265"/>
      <c r="Z299" s="265"/>
      <c r="AA299" s="265"/>
      <c r="AB299" s="265"/>
      <c r="AC299" s="265"/>
    </row>
    <row r="300" spans="1:29">
      <c r="A300" s="1159"/>
      <c r="B300" s="1159"/>
      <c r="C300" s="1159"/>
      <c r="D300" s="1159"/>
      <c r="E300" s="1159"/>
      <c r="F300" s="1159"/>
      <c r="G300" s="1159"/>
      <c r="H300" s="1159"/>
      <c r="I300" s="1159"/>
      <c r="J300" s="1159"/>
      <c r="K300" s="265"/>
      <c r="L300" s="265"/>
      <c r="M300" s="265"/>
      <c r="N300" s="265"/>
      <c r="O300" s="265"/>
      <c r="P300" s="265"/>
      <c r="Q300" s="265"/>
      <c r="R300" s="265"/>
      <c r="S300" s="265"/>
      <c r="T300" s="265"/>
      <c r="U300" s="265"/>
      <c r="V300" s="265"/>
      <c r="W300" s="265"/>
      <c r="X300" s="265"/>
      <c r="Y300" s="265"/>
      <c r="Z300" s="265"/>
      <c r="AA300" s="265"/>
      <c r="AB300" s="265"/>
      <c r="AC300" s="265"/>
    </row>
    <row r="301" spans="1:29">
      <c r="A301" s="1159"/>
      <c r="B301" s="1159"/>
      <c r="C301" s="1159"/>
      <c r="D301" s="1159"/>
      <c r="E301" s="1159"/>
      <c r="F301" s="1159"/>
      <c r="G301" s="1159"/>
      <c r="H301" s="1159"/>
      <c r="I301" s="1159"/>
      <c r="J301" s="1159"/>
      <c r="K301" s="265"/>
      <c r="L301" s="265"/>
      <c r="M301" s="265"/>
      <c r="N301" s="265"/>
      <c r="O301" s="265"/>
      <c r="P301" s="265"/>
      <c r="Q301" s="265"/>
      <c r="R301" s="265"/>
      <c r="S301" s="265"/>
      <c r="T301" s="265"/>
      <c r="U301" s="265"/>
      <c r="V301" s="265"/>
      <c r="W301" s="265"/>
      <c r="X301" s="265"/>
      <c r="Y301" s="265"/>
      <c r="Z301" s="265"/>
      <c r="AA301" s="265"/>
      <c r="AB301" s="265"/>
      <c r="AC301" s="265"/>
    </row>
    <row r="302" spans="1:29">
      <c r="A302" s="1159"/>
      <c r="B302" s="1159"/>
      <c r="C302" s="1159"/>
      <c r="D302" s="1159"/>
      <c r="E302" s="1159"/>
      <c r="F302" s="1159"/>
      <c r="G302" s="1159"/>
      <c r="H302" s="1159"/>
      <c r="I302" s="1159"/>
      <c r="J302" s="1159"/>
      <c r="K302" s="265"/>
      <c r="L302" s="265"/>
      <c r="M302" s="265"/>
      <c r="N302" s="265"/>
      <c r="O302" s="265"/>
      <c r="P302" s="265"/>
      <c r="Q302" s="265"/>
      <c r="R302" s="265"/>
      <c r="S302" s="265"/>
      <c r="T302" s="265"/>
      <c r="U302" s="265"/>
      <c r="V302" s="265"/>
      <c r="W302" s="265"/>
      <c r="X302" s="265"/>
      <c r="Y302" s="265"/>
      <c r="Z302" s="265"/>
      <c r="AA302" s="265"/>
      <c r="AB302" s="265"/>
      <c r="AC302" s="265"/>
    </row>
    <row r="303" spans="1:29" ht="15.75" thickBot="1">
      <c r="A303" s="1159"/>
      <c r="B303" s="1159"/>
      <c r="C303" s="1159"/>
      <c r="D303" s="1159"/>
      <c r="E303" s="1159"/>
      <c r="F303" s="1159"/>
      <c r="G303" s="1159"/>
      <c r="H303" s="1159"/>
      <c r="I303" s="1159"/>
      <c r="J303" s="1159"/>
      <c r="K303" s="265"/>
      <c r="L303" s="265"/>
      <c r="M303" s="265"/>
      <c r="N303" s="265"/>
      <c r="O303" s="265"/>
      <c r="P303" s="265"/>
      <c r="Q303" s="265"/>
      <c r="R303" s="265"/>
      <c r="S303" s="265"/>
      <c r="T303" s="265"/>
      <c r="U303" s="265"/>
      <c r="V303" s="265"/>
      <c r="W303" s="265"/>
      <c r="X303" s="265"/>
      <c r="Y303" s="265"/>
      <c r="Z303" s="265"/>
      <c r="AA303" s="265"/>
      <c r="AB303" s="265"/>
      <c r="AC303" s="265"/>
    </row>
    <row r="304" spans="1:29" ht="15.75" thickBot="1">
      <c r="A304" s="1159"/>
      <c r="B304" s="1159"/>
      <c r="C304" s="1159"/>
      <c r="D304" s="1159"/>
      <c r="E304" s="1159"/>
      <c r="F304" s="1159"/>
      <c r="G304" s="1159"/>
      <c r="H304" s="1159"/>
      <c r="I304" s="1159"/>
      <c r="J304" s="1159"/>
      <c r="K304" s="266" t="s">
        <v>296</v>
      </c>
      <c r="L304" s="267"/>
      <c r="M304" s="267"/>
      <c r="N304" s="267"/>
      <c r="O304" s="267"/>
      <c r="P304" s="267"/>
      <c r="Q304" s="267"/>
      <c r="R304" s="268"/>
    </row>
    <row r="305" spans="1:18" ht="21.75" customHeight="1" thickBot="1">
      <c r="A305" s="64"/>
      <c r="B305" s="529"/>
      <c r="C305" s="585"/>
      <c r="D305" s="529" t="s">
        <v>939</v>
      </c>
      <c r="E305" s="529"/>
      <c r="F305" s="529"/>
      <c r="G305" s="529"/>
      <c r="H305" s="529"/>
      <c r="I305" s="64"/>
      <c r="J305" s="64"/>
      <c r="K305" s="1293" t="s">
        <v>298</v>
      </c>
      <c r="L305" s="1295" t="s">
        <v>948</v>
      </c>
      <c r="M305" s="1293" t="s">
        <v>283</v>
      </c>
      <c r="N305" s="82" t="s">
        <v>284</v>
      </c>
      <c r="O305" s="269"/>
      <c r="P305" s="269"/>
      <c r="Q305" s="270"/>
      <c r="R305" s="271" t="s">
        <v>299</v>
      </c>
    </row>
    <row r="306" spans="1:18" ht="15.75" thickBot="1">
      <c r="A306" s="64"/>
      <c r="B306" s="529"/>
      <c r="C306" s="529"/>
      <c r="D306" s="834" t="s">
        <v>278</v>
      </c>
      <c r="E306" s="1267" t="s">
        <v>287</v>
      </c>
      <c r="F306" s="1267"/>
      <c r="G306" s="834" t="s">
        <v>288</v>
      </c>
      <c r="H306" s="117"/>
      <c r="I306" s="117"/>
      <c r="J306" s="64"/>
      <c r="K306" s="1294"/>
      <c r="L306" s="1296"/>
      <c r="M306" s="1294"/>
      <c r="N306" s="839" t="s">
        <v>940</v>
      </c>
      <c r="O306" s="273" t="s">
        <v>946</v>
      </c>
      <c r="P306" s="273" t="s">
        <v>947</v>
      </c>
      <c r="Q306" s="274" t="s">
        <v>154</v>
      </c>
      <c r="R306" s="275" t="s">
        <v>295</v>
      </c>
    </row>
    <row r="307" spans="1:18">
      <c r="A307" s="64"/>
      <c r="B307" s="529"/>
      <c r="C307" s="529"/>
      <c r="D307" s="836">
        <v>25</v>
      </c>
      <c r="E307" s="1268">
        <v>200000</v>
      </c>
      <c r="F307" s="1269"/>
      <c r="G307" s="838">
        <v>0.2</v>
      </c>
      <c r="H307" s="64"/>
      <c r="I307" s="64"/>
      <c r="J307" s="64"/>
      <c r="K307" s="276">
        <v>0</v>
      </c>
      <c r="L307" s="277">
        <f>$C$332</f>
        <v>1000000</v>
      </c>
      <c r="M307" s="277">
        <f>$C$332</f>
        <v>1000000</v>
      </c>
      <c r="N307" s="276">
        <v>0</v>
      </c>
      <c r="O307" s="93">
        <v>0</v>
      </c>
      <c r="P307" s="93">
        <v>0</v>
      </c>
      <c r="Q307" s="278">
        <f>N307+O307+P307</f>
        <v>0</v>
      </c>
      <c r="R307" s="279">
        <f t="shared" ref="R307:R332" si="9">((M307*$B$329)+(Q307*$B$330))/10^6</f>
        <v>800</v>
      </c>
    </row>
    <row r="308" spans="1:18">
      <c r="A308" s="64"/>
      <c r="B308" s="529"/>
      <c r="C308" s="529"/>
      <c r="D308" s="836">
        <v>20</v>
      </c>
      <c r="E308" s="1268">
        <v>200000</v>
      </c>
      <c r="F308" s="1269"/>
      <c r="G308" s="838">
        <v>0.2</v>
      </c>
      <c r="H308" s="64"/>
      <c r="I308" s="64"/>
      <c r="J308" s="64"/>
      <c r="K308" s="276">
        <v>1</v>
      </c>
      <c r="L308" s="280">
        <f>L307+$B$328</f>
        <v>1050000</v>
      </c>
      <c r="M308" s="280">
        <f t="shared" ref="M308:M332" si="10">L308-Q308</f>
        <v>792000</v>
      </c>
      <c r="N308" s="281">
        <f>$E$307</f>
        <v>200000</v>
      </c>
      <c r="O308" s="282">
        <f>$B$328</f>
        <v>50000</v>
      </c>
      <c r="P308" s="282">
        <f>$F$329</f>
        <v>8000</v>
      </c>
      <c r="Q308" s="283">
        <f>N308+O308+P308</f>
        <v>258000</v>
      </c>
      <c r="R308" s="284">
        <f t="shared" si="9"/>
        <v>736.8</v>
      </c>
    </row>
    <row r="309" spans="1:18">
      <c r="A309" s="64"/>
      <c r="B309" s="529"/>
      <c r="C309" s="529"/>
      <c r="D309" s="836">
        <v>15</v>
      </c>
      <c r="E309" s="1268">
        <v>150000</v>
      </c>
      <c r="F309" s="1269"/>
      <c r="G309" s="838">
        <v>0.15</v>
      </c>
      <c r="H309" s="64"/>
      <c r="I309" s="64"/>
      <c r="J309" s="64"/>
      <c r="K309" s="276">
        <v>2</v>
      </c>
      <c r="L309" s="280">
        <f>L308+$B$328</f>
        <v>1100000</v>
      </c>
      <c r="M309" s="280">
        <f t="shared" si="10"/>
        <v>784000</v>
      </c>
      <c r="N309" s="276"/>
      <c r="O309" s="282">
        <f t="shared" ref="O309:O332" si="11">$B$328</f>
        <v>50000</v>
      </c>
      <c r="P309" s="282">
        <f>$F$329</f>
        <v>8000</v>
      </c>
      <c r="Q309" s="283">
        <f t="shared" ref="Q309:Q332" si="12">N309+O309+P309+Q308</f>
        <v>316000</v>
      </c>
      <c r="R309" s="284">
        <f t="shared" si="9"/>
        <v>753.6</v>
      </c>
    </row>
    <row r="310" spans="1:18">
      <c r="A310" s="64"/>
      <c r="B310" s="529"/>
      <c r="C310" s="529"/>
      <c r="D310" s="836">
        <v>10</v>
      </c>
      <c r="E310" s="1268">
        <v>150000</v>
      </c>
      <c r="F310" s="1269"/>
      <c r="G310" s="838">
        <v>0.15</v>
      </c>
      <c r="H310" s="64"/>
      <c r="I310" s="64"/>
      <c r="J310" s="64"/>
      <c r="K310" s="276">
        <v>3</v>
      </c>
      <c r="L310" s="280">
        <f t="shared" ref="L310:L332" si="13">L309+$B$328</f>
        <v>1150000</v>
      </c>
      <c r="M310" s="280">
        <f t="shared" si="10"/>
        <v>776000</v>
      </c>
      <c r="N310" s="276"/>
      <c r="O310" s="282">
        <f t="shared" si="11"/>
        <v>50000</v>
      </c>
      <c r="P310" s="282">
        <f>$F$329</f>
        <v>8000</v>
      </c>
      <c r="Q310" s="283">
        <f t="shared" si="12"/>
        <v>374000</v>
      </c>
      <c r="R310" s="284">
        <f t="shared" si="9"/>
        <v>770.4</v>
      </c>
    </row>
    <row r="311" spans="1:18">
      <c r="A311" s="64"/>
      <c r="B311" s="529"/>
      <c r="C311" s="529"/>
      <c r="D311" s="836">
        <v>5</v>
      </c>
      <c r="E311" s="1268">
        <v>150000</v>
      </c>
      <c r="F311" s="1269"/>
      <c r="G311" s="838">
        <v>0.15</v>
      </c>
      <c r="H311" s="64"/>
      <c r="I311" s="64"/>
      <c r="J311" s="64"/>
      <c r="K311" s="276">
        <v>4</v>
      </c>
      <c r="L311" s="280">
        <f t="shared" si="13"/>
        <v>1200000</v>
      </c>
      <c r="M311" s="280">
        <f t="shared" si="10"/>
        <v>768000</v>
      </c>
      <c r="N311" s="276"/>
      <c r="O311" s="282">
        <f t="shared" si="11"/>
        <v>50000</v>
      </c>
      <c r="P311" s="282">
        <f>$F$329</f>
        <v>8000</v>
      </c>
      <c r="Q311" s="283">
        <f t="shared" si="12"/>
        <v>432000</v>
      </c>
      <c r="R311" s="284">
        <f t="shared" si="9"/>
        <v>787.2</v>
      </c>
    </row>
    <row r="312" spans="1:18">
      <c r="A312" s="64"/>
      <c r="B312" s="529"/>
      <c r="C312" s="529"/>
      <c r="D312" s="836">
        <v>0</v>
      </c>
      <c r="E312" s="1292">
        <v>150000</v>
      </c>
      <c r="F312" s="1292"/>
      <c r="G312" s="838">
        <v>0.15</v>
      </c>
      <c r="H312" s="64"/>
      <c r="I312" s="64"/>
      <c r="J312" s="64"/>
      <c r="K312" s="276">
        <v>5</v>
      </c>
      <c r="L312" s="280">
        <f t="shared" si="13"/>
        <v>1250000</v>
      </c>
      <c r="M312" s="280">
        <f t="shared" si="10"/>
        <v>760000</v>
      </c>
      <c r="N312" s="276"/>
      <c r="O312" s="282">
        <f t="shared" si="11"/>
        <v>50000</v>
      </c>
      <c r="P312" s="282">
        <f>$F$329</f>
        <v>8000</v>
      </c>
      <c r="Q312" s="283">
        <f t="shared" si="12"/>
        <v>490000</v>
      </c>
      <c r="R312" s="284">
        <f t="shared" si="9"/>
        <v>804</v>
      </c>
    </row>
    <row r="313" spans="1:18">
      <c r="A313" s="64"/>
      <c r="B313" s="64"/>
      <c r="C313" s="64"/>
      <c r="D313" s="64"/>
      <c r="E313" s="64"/>
      <c r="F313" s="64"/>
      <c r="G313" s="64"/>
      <c r="H313" s="64"/>
      <c r="I313" s="64"/>
      <c r="J313" s="64"/>
      <c r="K313" s="276">
        <v>6</v>
      </c>
      <c r="L313" s="280">
        <f t="shared" si="13"/>
        <v>1300000</v>
      </c>
      <c r="M313" s="280">
        <f t="shared" si="10"/>
        <v>554000</v>
      </c>
      <c r="N313" s="281">
        <f>$E$308</f>
        <v>200000</v>
      </c>
      <c r="O313" s="282">
        <f t="shared" si="11"/>
        <v>50000</v>
      </c>
      <c r="P313" s="282">
        <f>$F$330</f>
        <v>6000</v>
      </c>
      <c r="Q313" s="283">
        <f t="shared" si="12"/>
        <v>746000</v>
      </c>
      <c r="R313" s="284">
        <f t="shared" si="9"/>
        <v>741.6</v>
      </c>
    </row>
    <row r="314" spans="1:18" ht="15" customHeight="1">
      <c r="A314" s="1013" t="s">
        <v>279</v>
      </c>
      <c r="B314" s="1159"/>
      <c r="C314" s="1159"/>
      <c r="D314" s="1159"/>
      <c r="E314" s="1159"/>
      <c r="F314" s="1159"/>
      <c r="G314" s="1159"/>
      <c r="H314" s="1159"/>
      <c r="I314" s="1159"/>
      <c r="J314" s="1159"/>
      <c r="K314" s="276">
        <v>7</v>
      </c>
      <c r="L314" s="280">
        <f t="shared" si="13"/>
        <v>1350000</v>
      </c>
      <c r="M314" s="280">
        <f t="shared" si="10"/>
        <v>548000</v>
      </c>
      <c r="N314" s="276"/>
      <c r="O314" s="282">
        <f t="shared" si="11"/>
        <v>50000</v>
      </c>
      <c r="P314" s="282">
        <f>$F$330</f>
        <v>6000</v>
      </c>
      <c r="Q314" s="283">
        <f t="shared" si="12"/>
        <v>802000</v>
      </c>
      <c r="R314" s="284">
        <f t="shared" si="9"/>
        <v>759.2</v>
      </c>
    </row>
    <row r="315" spans="1:18">
      <c r="A315" s="1159"/>
      <c r="B315" s="1159"/>
      <c r="C315" s="1159"/>
      <c r="D315" s="1159"/>
      <c r="E315" s="1159"/>
      <c r="F315" s="1159"/>
      <c r="G315" s="1159"/>
      <c r="H315" s="1159"/>
      <c r="I315" s="1159"/>
      <c r="J315" s="1159"/>
      <c r="K315" s="276">
        <v>8</v>
      </c>
      <c r="L315" s="280">
        <f t="shared" si="13"/>
        <v>1400000</v>
      </c>
      <c r="M315" s="280">
        <f t="shared" si="10"/>
        <v>542000</v>
      </c>
      <c r="N315" s="276"/>
      <c r="O315" s="282">
        <f t="shared" si="11"/>
        <v>50000</v>
      </c>
      <c r="P315" s="282">
        <f>$F$330</f>
        <v>6000</v>
      </c>
      <c r="Q315" s="283">
        <f t="shared" si="12"/>
        <v>858000</v>
      </c>
      <c r="R315" s="284">
        <f t="shared" si="9"/>
        <v>776.8</v>
      </c>
    </row>
    <row r="316" spans="1:18">
      <c r="A316" s="1159"/>
      <c r="B316" s="1159"/>
      <c r="C316" s="1159"/>
      <c r="D316" s="1159"/>
      <c r="E316" s="1159"/>
      <c r="F316" s="1159"/>
      <c r="G316" s="1159"/>
      <c r="H316" s="1159"/>
      <c r="I316" s="1159"/>
      <c r="J316" s="1159"/>
      <c r="K316" s="276">
        <v>9</v>
      </c>
      <c r="L316" s="280">
        <f t="shared" si="13"/>
        <v>1450000</v>
      </c>
      <c r="M316" s="280">
        <f t="shared" si="10"/>
        <v>536000</v>
      </c>
      <c r="N316" s="276"/>
      <c r="O316" s="282">
        <f t="shared" si="11"/>
        <v>50000</v>
      </c>
      <c r="P316" s="282">
        <f>$F$330</f>
        <v>6000</v>
      </c>
      <c r="Q316" s="283">
        <f t="shared" si="12"/>
        <v>914000</v>
      </c>
      <c r="R316" s="284">
        <f t="shared" si="9"/>
        <v>794.4</v>
      </c>
    </row>
    <row r="317" spans="1:18" ht="14.25" customHeight="1">
      <c r="A317" s="1013" t="s">
        <v>944</v>
      </c>
      <c r="B317" s="1159"/>
      <c r="C317" s="1159"/>
      <c r="D317" s="1159"/>
      <c r="E317" s="1159"/>
      <c r="F317" s="1159"/>
      <c r="G317" s="1159"/>
      <c r="H317" s="1159"/>
      <c r="I317" s="1159"/>
      <c r="J317" s="64"/>
      <c r="K317" s="276">
        <v>10</v>
      </c>
      <c r="L317" s="280">
        <f t="shared" si="13"/>
        <v>1500000</v>
      </c>
      <c r="M317" s="280">
        <f t="shared" si="10"/>
        <v>530000</v>
      </c>
      <c r="N317" s="276"/>
      <c r="O317" s="282">
        <f t="shared" si="11"/>
        <v>50000</v>
      </c>
      <c r="P317" s="282">
        <f>$F$330</f>
        <v>6000</v>
      </c>
      <c r="Q317" s="283">
        <f t="shared" si="12"/>
        <v>970000</v>
      </c>
      <c r="R317" s="284">
        <f t="shared" si="9"/>
        <v>812</v>
      </c>
    </row>
    <row r="318" spans="1:18" ht="14.25" customHeight="1">
      <c r="A318" s="1159"/>
      <c r="B318" s="1159"/>
      <c r="C318" s="1159"/>
      <c r="D318" s="1159"/>
      <c r="E318" s="1159"/>
      <c r="F318" s="1159"/>
      <c r="G318" s="1159"/>
      <c r="H318" s="1159"/>
      <c r="I318" s="1159"/>
      <c r="J318" s="64"/>
      <c r="K318" s="276">
        <v>11</v>
      </c>
      <c r="L318" s="280">
        <f t="shared" si="13"/>
        <v>1550000</v>
      </c>
      <c r="M318" s="280">
        <f t="shared" si="10"/>
        <v>375500</v>
      </c>
      <c r="N318" s="281">
        <f>$E$309</f>
        <v>150000</v>
      </c>
      <c r="O318" s="282">
        <f t="shared" si="11"/>
        <v>50000</v>
      </c>
      <c r="P318" s="282">
        <f>$F$331</f>
        <v>4500</v>
      </c>
      <c r="Q318" s="283">
        <f t="shared" si="12"/>
        <v>1174500</v>
      </c>
      <c r="R318" s="284">
        <f t="shared" si="9"/>
        <v>770.2</v>
      </c>
    </row>
    <row r="319" spans="1:18">
      <c r="A319" s="1159"/>
      <c r="B319" s="1159"/>
      <c r="C319" s="1159"/>
      <c r="D319" s="1159"/>
      <c r="E319" s="1159"/>
      <c r="F319" s="1159"/>
      <c r="G319" s="1159"/>
      <c r="H319" s="1159"/>
      <c r="I319" s="1159"/>
      <c r="J319" s="64"/>
      <c r="K319" s="276">
        <v>12</v>
      </c>
      <c r="L319" s="280">
        <f t="shared" si="13"/>
        <v>1600000</v>
      </c>
      <c r="M319" s="280">
        <f t="shared" si="10"/>
        <v>371000</v>
      </c>
      <c r="N319" s="276"/>
      <c r="O319" s="282">
        <f t="shared" si="11"/>
        <v>50000</v>
      </c>
      <c r="P319" s="282">
        <f>$F$331</f>
        <v>4500</v>
      </c>
      <c r="Q319" s="283">
        <f t="shared" si="12"/>
        <v>1229000</v>
      </c>
      <c r="R319" s="284">
        <f t="shared" si="9"/>
        <v>788.4</v>
      </c>
    </row>
    <row r="320" spans="1:18">
      <c r="A320" s="1159"/>
      <c r="B320" s="1159"/>
      <c r="C320" s="1159"/>
      <c r="D320" s="1159"/>
      <c r="E320" s="1159"/>
      <c r="F320" s="1159"/>
      <c r="G320" s="1159"/>
      <c r="H320" s="1159"/>
      <c r="I320" s="1159"/>
      <c r="J320" s="64"/>
      <c r="K320" s="276">
        <v>13</v>
      </c>
      <c r="L320" s="280">
        <f t="shared" si="13"/>
        <v>1650000</v>
      </c>
      <c r="M320" s="280">
        <f t="shared" si="10"/>
        <v>366500</v>
      </c>
      <c r="N320" s="276"/>
      <c r="O320" s="282">
        <f t="shared" si="11"/>
        <v>50000</v>
      </c>
      <c r="P320" s="282">
        <f>$F$331</f>
        <v>4500</v>
      </c>
      <c r="Q320" s="283">
        <f t="shared" si="12"/>
        <v>1283500</v>
      </c>
      <c r="R320" s="284">
        <f t="shared" si="9"/>
        <v>806.6</v>
      </c>
    </row>
    <row r="321" spans="1:37">
      <c r="A321" s="1159"/>
      <c r="B321" s="1159"/>
      <c r="C321" s="1159"/>
      <c r="D321" s="1159"/>
      <c r="E321" s="1159"/>
      <c r="F321" s="1159"/>
      <c r="G321" s="1159"/>
      <c r="H321" s="1159"/>
      <c r="I321" s="1159"/>
      <c r="J321" s="64"/>
      <c r="K321" s="276">
        <v>14</v>
      </c>
      <c r="L321" s="280">
        <f t="shared" si="13"/>
        <v>1700000</v>
      </c>
      <c r="M321" s="280">
        <f t="shared" si="10"/>
        <v>362000</v>
      </c>
      <c r="N321" s="276"/>
      <c r="O321" s="282">
        <f t="shared" si="11"/>
        <v>50000</v>
      </c>
      <c r="P321" s="282">
        <f>$F$331</f>
        <v>4500</v>
      </c>
      <c r="Q321" s="283">
        <f t="shared" si="12"/>
        <v>1338000</v>
      </c>
      <c r="R321" s="284">
        <f t="shared" si="9"/>
        <v>824.8</v>
      </c>
    </row>
    <row r="322" spans="1:37">
      <c r="A322" s="1159"/>
      <c r="B322" s="1159"/>
      <c r="C322" s="1159"/>
      <c r="D322" s="1159"/>
      <c r="E322" s="1159"/>
      <c r="F322" s="1159"/>
      <c r="G322" s="1159"/>
      <c r="H322" s="1159"/>
      <c r="I322" s="1159"/>
      <c r="J322" s="64"/>
      <c r="K322" s="276">
        <v>15</v>
      </c>
      <c r="L322" s="280">
        <f t="shared" si="13"/>
        <v>1750000</v>
      </c>
      <c r="M322" s="280">
        <f t="shared" si="10"/>
        <v>357500</v>
      </c>
      <c r="N322" s="276"/>
      <c r="O322" s="282">
        <f t="shared" si="11"/>
        <v>50000</v>
      </c>
      <c r="P322" s="282">
        <f>$F$331</f>
        <v>4500</v>
      </c>
      <c r="Q322" s="283">
        <f t="shared" si="12"/>
        <v>1392500</v>
      </c>
      <c r="R322" s="284">
        <f t="shared" si="9"/>
        <v>843</v>
      </c>
    </row>
    <row r="323" spans="1:37">
      <c r="A323" s="1159"/>
      <c r="B323" s="1159"/>
      <c r="C323" s="1159"/>
      <c r="D323" s="1159"/>
      <c r="E323" s="1159"/>
      <c r="F323" s="1159"/>
      <c r="G323" s="1159"/>
      <c r="H323" s="1159"/>
      <c r="I323" s="1159"/>
      <c r="J323" s="64"/>
      <c r="K323" s="276">
        <v>16</v>
      </c>
      <c r="L323" s="280">
        <f t="shared" si="13"/>
        <v>1800000</v>
      </c>
      <c r="M323" s="280">
        <f t="shared" si="10"/>
        <v>204500</v>
      </c>
      <c r="N323" s="281">
        <f>$E$310</f>
        <v>150000</v>
      </c>
      <c r="O323" s="282">
        <f t="shared" si="11"/>
        <v>50000</v>
      </c>
      <c r="P323" s="282">
        <f>$F$332</f>
        <v>3000</v>
      </c>
      <c r="Q323" s="283">
        <f t="shared" si="12"/>
        <v>1595500</v>
      </c>
      <c r="R323" s="284">
        <f t="shared" si="9"/>
        <v>801.8</v>
      </c>
    </row>
    <row r="324" spans="1:37">
      <c r="A324" s="1159"/>
      <c r="B324" s="1159"/>
      <c r="C324" s="1159"/>
      <c r="D324" s="1159"/>
      <c r="E324" s="1159"/>
      <c r="F324" s="1159"/>
      <c r="G324" s="1159"/>
      <c r="H324" s="1159"/>
      <c r="I324" s="1159"/>
      <c r="J324" s="64"/>
      <c r="K324" s="276">
        <v>17</v>
      </c>
      <c r="L324" s="280">
        <f t="shared" si="13"/>
        <v>1850000</v>
      </c>
      <c r="M324" s="280">
        <f t="shared" si="10"/>
        <v>201500</v>
      </c>
      <c r="N324" s="276"/>
      <c r="O324" s="282">
        <f t="shared" si="11"/>
        <v>50000</v>
      </c>
      <c r="P324" s="282">
        <f>$F$332</f>
        <v>3000</v>
      </c>
      <c r="Q324" s="283">
        <f t="shared" si="12"/>
        <v>1648500</v>
      </c>
      <c r="R324" s="284">
        <f t="shared" si="9"/>
        <v>820.6</v>
      </c>
    </row>
    <row r="325" spans="1:37">
      <c r="A325" s="1013" t="s">
        <v>942</v>
      </c>
      <c r="B325" s="1159"/>
      <c r="C325" s="1159"/>
      <c r="D325" s="1159"/>
      <c r="E325" s="1159"/>
      <c r="F325" s="1159"/>
      <c r="G325" s="1159"/>
      <c r="H325" s="1159"/>
      <c r="I325" s="1159"/>
      <c r="J325" s="64"/>
      <c r="K325" s="276">
        <v>18</v>
      </c>
      <c r="L325" s="280">
        <f t="shared" si="13"/>
        <v>1900000</v>
      </c>
      <c r="M325" s="280">
        <f t="shared" si="10"/>
        <v>198500</v>
      </c>
      <c r="N325" s="276"/>
      <c r="O325" s="282">
        <f t="shared" si="11"/>
        <v>50000</v>
      </c>
      <c r="P325" s="282">
        <f>$F$332</f>
        <v>3000</v>
      </c>
      <c r="Q325" s="283">
        <f t="shared" si="12"/>
        <v>1701500</v>
      </c>
      <c r="R325" s="284">
        <f t="shared" si="9"/>
        <v>839.4</v>
      </c>
    </row>
    <row r="326" spans="1:37">
      <c r="A326" s="1159"/>
      <c r="B326" s="1159"/>
      <c r="C326" s="1159"/>
      <c r="D326" s="1159"/>
      <c r="E326" s="1159"/>
      <c r="F326" s="1159"/>
      <c r="G326" s="1159"/>
      <c r="H326" s="1159"/>
      <c r="I326" s="1159"/>
      <c r="J326" s="64"/>
      <c r="K326" s="276">
        <v>19</v>
      </c>
      <c r="L326" s="280">
        <f t="shared" si="13"/>
        <v>1950000</v>
      </c>
      <c r="M326" s="280">
        <f t="shared" si="10"/>
        <v>195500</v>
      </c>
      <c r="N326" s="276"/>
      <c r="O326" s="282">
        <f t="shared" si="11"/>
        <v>50000</v>
      </c>
      <c r="P326" s="282">
        <f>$F$332</f>
        <v>3000</v>
      </c>
      <c r="Q326" s="283">
        <f t="shared" si="12"/>
        <v>1754500</v>
      </c>
      <c r="R326" s="284">
        <f t="shared" si="9"/>
        <v>858.2</v>
      </c>
    </row>
    <row r="327" spans="1:37" s="70" customFormat="1">
      <c r="A327" s="221"/>
      <c r="B327" s="221"/>
      <c r="C327" s="221"/>
      <c r="D327" s="221"/>
      <c r="E327" s="221"/>
      <c r="F327" s="221"/>
      <c r="G327" s="221"/>
      <c r="H327" s="221"/>
      <c r="I327" s="221"/>
      <c r="K327" s="276">
        <v>20</v>
      </c>
      <c r="L327" s="280">
        <f t="shared" si="13"/>
        <v>2000000</v>
      </c>
      <c r="M327" s="280">
        <f t="shared" si="10"/>
        <v>192500</v>
      </c>
      <c r="N327" s="276"/>
      <c r="O327" s="282">
        <f t="shared" si="11"/>
        <v>50000</v>
      </c>
      <c r="P327" s="282">
        <f>$F$332</f>
        <v>3000</v>
      </c>
      <c r="Q327" s="283">
        <f t="shared" si="12"/>
        <v>1807500</v>
      </c>
      <c r="R327" s="284">
        <f t="shared" si="9"/>
        <v>877</v>
      </c>
      <c r="S327" s="261"/>
      <c r="T327" s="261"/>
      <c r="U327" s="261"/>
      <c r="V327" s="261"/>
      <c r="W327" s="261"/>
      <c r="X327" s="261"/>
      <c r="Y327" s="261"/>
      <c r="Z327" s="261"/>
      <c r="AA327" s="261"/>
      <c r="AB327" s="261"/>
      <c r="AC327" s="261"/>
      <c r="AD327" s="261"/>
      <c r="AE327" s="261"/>
      <c r="AF327" s="261"/>
      <c r="AG327" s="261"/>
      <c r="AH327" s="261"/>
      <c r="AI327" s="261"/>
      <c r="AJ327" s="261"/>
      <c r="AK327" s="261"/>
    </row>
    <row r="328" spans="1:37">
      <c r="A328" s="49" t="s">
        <v>285</v>
      </c>
      <c r="B328" s="143">
        <v>50000</v>
      </c>
      <c r="C328" s="49" t="s">
        <v>286</v>
      </c>
      <c r="E328" s="49" t="s">
        <v>289</v>
      </c>
      <c r="K328" s="276">
        <v>21</v>
      </c>
      <c r="L328" s="280">
        <f t="shared" si="13"/>
        <v>2050000</v>
      </c>
      <c r="M328" s="280">
        <f t="shared" si="10"/>
        <v>41000</v>
      </c>
      <c r="N328" s="281">
        <f>$E$311</f>
        <v>150000</v>
      </c>
      <c r="O328" s="282">
        <f t="shared" si="11"/>
        <v>50000</v>
      </c>
      <c r="P328" s="282">
        <f>$F$333</f>
        <v>1500</v>
      </c>
      <c r="Q328" s="283">
        <f t="shared" si="12"/>
        <v>2009000</v>
      </c>
      <c r="R328" s="284">
        <f t="shared" si="9"/>
        <v>836.4</v>
      </c>
    </row>
    <row r="329" spans="1:37">
      <c r="A329" s="49" t="s">
        <v>280</v>
      </c>
      <c r="B329" s="49">
        <v>800</v>
      </c>
      <c r="C329" s="49" t="s">
        <v>109</v>
      </c>
      <c r="E329" s="49" t="s">
        <v>290</v>
      </c>
      <c r="F329" s="211">
        <f>((M307-E307)*0.05)/5</f>
        <v>8000</v>
      </c>
      <c r="H329" s="143"/>
      <c r="I329" s="143"/>
      <c r="K329" s="276">
        <v>22</v>
      </c>
      <c r="L329" s="280">
        <f t="shared" si="13"/>
        <v>2100000</v>
      </c>
      <c r="M329" s="280">
        <f t="shared" si="10"/>
        <v>39500</v>
      </c>
      <c r="N329" s="276"/>
      <c r="O329" s="282">
        <f t="shared" si="11"/>
        <v>50000</v>
      </c>
      <c r="P329" s="282">
        <f>$F$333</f>
        <v>1500</v>
      </c>
      <c r="Q329" s="283">
        <f t="shared" si="12"/>
        <v>2060500</v>
      </c>
      <c r="R329" s="284">
        <f t="shared" si="9"/>
        <v>855.8</v>
      </c>
    </row>
    <row r="330" spans="1:37">
      <c r="A330" s="49" t="s">
        <v>281</v>
      </c>
      <c r="B330" s="49">
        <v>400</v>
      </c>
      <c r="C330" s="49" t="s">
        <v>109</v>
      </c>
      <c r="E330" s="49" t="s">
        <v>291</v>
      </c>
      <c r="F330" s="211">
        <f>((M307-E307-E308)*0.05)/5</f>
        <v>6000</v>
      </c>
      <c r="G330" s="143"/>
      <c r="H330" s="143"/>
      <c r="K330" s="276">
        <v>23</v>
      </c>
      <c r="L330" s="280">
        <f t="shared" si="13"/>
        <v>2150000</v>
      </c>
      <c r="M330" s="280">
        <f t="shared" si="10"/>
        <v>38000</v>
      </c>
      <c r="N330" s="276"/>
      <c r="O330" s="282">
        <f t="shared" si="11"/>
        <v>50000</v>
      </c>
      <c r="P330" s="282">
        <f>$F$333</f>
        <v>1500</v>
      </c>
      <c r="Q330" s="283">
        <f t="shared" si="12"/>
        <v>2112000</v>
      </c>
      <c r="R330" s="284">
        <f t="shared" si="9"/>
        <v>875.2</v>
      </c>
    </row>
    <row r="331" spans="1:37">
      <c r="A331" s="49" t="s">
        <v>127</v>
      </c>
      <c r="B331" s="49">
        <v>25</v>
      </c>
      <c r="C331" s="49" t="s">
        <v>111</v>
      </c>
      <c r="E331" s="49" t="s">
        <v>292</v>
      </c>
      <c r="F331" s="211">
        <f>((M307-E307-E308-E309)*0.05)/5</f>
        <v>4500</v>
      </c>
      <c r="H331" s="143"/>
      <c r="K331" s="276">
        <v>24</v>
      </c>
      <c r="L331" s="280">
        <f t="shared" si="13"/>
        <v>2200000</v>
      </c>
      <c r="M331" s="280">
        <f t="shared" si="10"/>
        <v>36500</v>
      </c>
      <c r="N331" s="276"/>
      <c r="O331" s="282">
        <f t="shared" si="11"/>
        <v>50000</v>
      </c>
      <c r="P331" s="282">
        <f>$F$333</f>
        <v>1500</v>
      </c>
      <c r="Q331" s="283">
        <f t="shared" si="12"/>
        <v>2163500</v>
      </c>
      <c r="R331" s="284">
        <f t="shared" si="9"/>
        <v>894.6</v>
      </c>
    </row>
    <row r="332" spans="1:37" ht="15.75" thickBot="1">
      <c r="A332" s="49" t="s">
        <v>282</v>
      </c>
      <c r="C332" s="211">
        <f>10^6</f>
        <v>1000000</v>
      </c>
      <c r="E332" s="143" t="s">
        <v>293</v>
      </c>
      <c r="F332" s="211">
        <f>((M307-E307-E308-E309-E310)*0.05)/5</f>
        <v>3000</v>
      </c>
      <c r="H332" s="143"/>
      <c r="K332" s="272">
        <v>25</v>
      </c>
      <c r="L332" s="285">
        <f t="shared" si="13"/>
        <v>2250000</v>
      </c>
      <c r="M332" s="285">
        <f t="shared" si="10"/>
        <v>35000</v>
      </c>
      <c r="N332" s="272"/>
      <c r="O332" s="286">
        <f t="shared" si="11"/>
        <v>50000</v>
      </c>
      <c r="P332" s="286">
        <f>$F$333</f>
        <v>1500</v>
      </c>
      <c r="Q332" s="287">
        <f t="shared" si="12"/>
        <v>2215000</v>
      </c>
      <c r="R332" s="288">
        <f t="shared" si="9"/>
        <v>914</v>
      </c>
    </row>
    <row r="333" spans="1:37" ht="15.75" thickBot="1">
      <c r="C333" s="211"/>
      <c r="E333" s="143" t="s">
        <v>294</v>
      </c>
      <c r="F333" s="211">
        <f>((M307-E307-E308-E309-E310-E311)*0.05)/5</f>
        <v>1500</v>
      </c>
      <c r="H333" s="143"/>
      <c r="P333" s="211"/>
    </row>
    <row r="334" spans="1:37" ht="15" customHeight="1" thickBot="1">
      <c r="A334" s="1210" t="s">
        <v>949</v>
      </c>
      <c r="B334" s="1211"/>
      <c r="C334" s="1211"/>
      <c r="D334" s="1211"/>
      <c r="E334" s="1211"/>
      <c r="F334" s="1211"/>
      <c r="G334" s="1211"/>
      <c r="H334" s="1211"/>
      <c r="I334" s="1211"/>
      <c r="J334" s="1212"/>
      <c r="K334" s="266" t="s">
        <v>635</v>
      </c>
      <c r="L334" s="267"/>
      <c r="M334" s="267"/>
      <c r="N334" s="267"/>
      <c r="O334" s="267"/>
      <c r="P334" s="267"/>
      <c r="Q334" s="267"/>
      <c r="R334" s="267"/>
      <c r="S334" s="268"/>
      <c r="U334" s="1289" t="s">
        <v>297</v>
      </c>
      <c r="V334" s="1290"/>
      <c r="W334" s="1290"/>
      <c r="X334" s="1290"/>
      <c r="Y334" s="1290"/>
      <c r="Z334" s="1290"/>
      <c r="AA334" s="1290"/>
      <c r="AB334" s="1290"/>
      <c r="AC334" s="1291"/>
    </row>
    <row r="335" spans="1:37">
      <c r="A335" s="1265"/>
      <c r="B335" s="1119"/>
      <c r="C335" s="1119"/>
      <c r="D335" s="1119"/>
      <c r="E335" s="1119"/>
      <c r="F335" s="1119"/>
      <c r="G335" s="1119"/>
      <c r="H335" s="1119"/>
      <c r="I335" s="1119"/>
      <c r="J335" s="1266"/>
      <c r="K335" s="1302" t="s">
        <v>298</v>
      </c>
      <c r="L335" s="1295" t="s">
        <v>948</v>
      </c>
      <c r="M335" s="1302" t="s">
        <v>283</v>
      </c>
      <c r="N335" s="289" t="s">
        <v>284</v>
      </c>
      <c r="O335" s="290"/>
      <c r="P335" s="290"/>
      <c r="Q335" s="290"/>
      <c r="R335" s="290"/>
      <c r="S335" s="271" t="s">
        <v>299</v>
      </c>
      <c r="U335" s="1293" t="s">
        <v>298</v>
      </c>
      <c r="V335" s="1295" t="s">
        <v>948</v>
      </c>
      <c r="W335" s="1293" t="s">
        <v>283</v>
      </c>
      <c r="X335" s="1297" t="s">
        <v>284</v>
      </c>
      <c r="Y335" s="1298"/>
      <c r="Z335" s="1298"/>
      <c r="AA335" s="1298"/>
      <c r="AB335" s="1299"/>
      <c r="AC335" s="271" t="s">
        <v>299</v>
      </c>
    </row>
    <row r="336" spans="1:37" ht="15.75" thickBot="1">
      <c r="A336" s="1265"/>
      <c r="B336" s="1119"/>
      <c r="C336" s="1119"/>
      <c r="D336" s="1119"/>
      <c r="E336" s="1119"/>
      <c r="F336" s="1119"/>
      <c r="G336" s="1119"/>
      <c r="H336" s="1119"/>
      <c r="I336" s="1119"/>
      <c r="J336" s="1266"/>
      <c r="K336" s="1303"/>
      <c r="L336" s="1296"/>
      <c r="M336" s="1303"/>
      <c r="N336" s="839" t="s">
        <v>940</v>
      </c>
      <c r="O336" s="273" t="s">
        <v>946</v>
      </c>
      <c r="P336" s="273" t="s">
        <v>947</v>
      </c>
      <c r="Q336" s="840" t="s">
        <v>941</v>
      </c>
      <c r="R336" s="274" t="s">
        <v>154</v>
      </c>
      <c r="S336" s="275" t="s">
        <v>295</v>
      </c>
      <c r="U336" s="1294"/>
      <c r="V336" s="1296"/>
      <c r="W336" s="1294"/>
      <c r="X336" s="272" t="s">
        <v>940</v>
      </c>
      <c r="Y336" s="273" t="s">
        <v>946</v>
      </c>
      <c r="Z336" s="273" t="s">
        <v>947</v>
      </c>
      <c r="AA336" s="273" t="s">
        <v>945</v>
      </c>
      <c r="AB336" s="274" t="s">
        <v>154</v>
      </c>
      <c r="AC336" s="275" t="s">
        <v>295</v>
      </c>
    </row>
    <row r="337" spans="1:29">
      <c r="A337" s="1265"/>
      <c r="B337" s="1119"/>
      <c r="C337" s="1119"/>
      <c r="D337" s="1119"/>
      <c r="E337" s="1119"/>
      <c r="F337" s="1119"/>
      <c r="G337" s="1119"/>
      <c r="H337" s="1119"/>
      <c r="I337" s="1119"/>
      <c r="J337" s="1266"/>
      <c r="K337" s="276">
        <v>0</v>
      </c>
      <c r="L337" s="280">
        <f>$C$332</f>
        <v>1000000</v>
      </c>
      <c r="M337" s="277">
        <f>$C$332</f>
        <v>1000000</v>
      </c>
      <c r="N337" s="276">
        <v>0</v>
      </c>
      <c r="O337" s="93">
        <v>0</v>
      </c>
      <c r="P337" s="93"/>
      <c r="Q337" s="93"/>
      <c r="R337" s="278">
        <f>O337+P337+Q337</f>
        <v>0</v>
      </c>
      <c r="S337" s="284">
        <f>((M337*$B$329)+(R337*$B$330))/10^6</f>
        <v>800</v>
      </c>
      <c r="T337" s="211"/>
      <c r="U337" s="276">
        <v>0</v>
      </c>
      <c r="V337" s="280">
        <f>$C$332</f>
        <v>1000000</v>
      </c>
      <c r="W337" s="277">
        <f>$C$332</f>
        <v>1000000</v>
      </c>
      <c r="X337" s="276">
        <v>0</v>
      </c>
      <c r="Y337" s="93">
        <v>0</v>
      </c>
      <c r="Z337" s="93"/>
      <c r="AA337" s="93"/>
      <c r="AB337" s="278">
        <f>Y337+Z337+AA337</f>
        <v>0</v>
      </c>
      <c r="AC337" s="284">
        <f>((W337*$B$329)+(AB337*$B$330))/10^6</f>
        <v>800</v>
      </c>
    </row>
    <row r="338" spans="1:29">
      <c r="A338" s="1265"/>
      <c r="B338" s="1119"/>
      <c r="C338" s="1119"/>
      <c r="D338" s="1119"/>
      <c r="E338" s="1119"/>
      <c r="F338" s="1119"/>
      <c r="G338" s="1119"/>
      <c r="H338" s="1119"/>
      <c r="I338" s="1119"/>
      <c r="J338" s="1266"/>
      <c r="K338" s="276">
        <v>1</v>
      </c>
      <c r="L338" s="280">
        <f>L337+$B$328</f>
        <v>1050000</v>
      </c>
      <c r="M338" s="280">
        <f t="shared" ref="M338:M362" si="14">L338-R338</f>
        <v>320000</v>
      </c>
      <c r="N338" s="281">
        <f>$E$307</f>
        <v>200000</v>
      </c>
      <c r="O338" s="282">
        <f>$B$328</f>
        <v>50000</v>
      </c>
      <c r="P338" s="282"/>
      <c r="Q338" s="282">
        <f>(L338-N338-O338-P338)*0.6</f>
        <v>480000</v>
      </c>
      <c r="R338" s="283">
        <f>O338+P338+Q338+N338</f>
        <v>730000</v>
      </c>
      <c r="S338" s="284">
        <f>((M338*$B$329)+(R338*$B$330))/10^6</f>
        <v>548</v>
      </c>
      <c r="T338" s="211"/>
      <c r="U338" s="276">
        <v>1</v>
      </c>
      <c r="V338" s="280">
        <f>V337+$B$328</f>
        <v>1050000</v>
      </c>
      <c r="W338" s="280">
        <f>V338-AB338</f>
        <v>560000</v>
      </c>
      <c r="X338" s="281">
        <f>$E$307</f>
        <v>200000</v>
      </c>
      <c r="Y338" s="282">
        <f>$B$328</f>
        <v>50000</v>
      </c>
      <c r="Z338" s="282"/>
      <c r="AA338" s="282">
        <f>(V338-X338-Y338-Z338)*0.3</f>
        <v>240000</v>
      </c>
      <c r="AB338" s="283">
        <f>Y338+Z338+AA338+X338</f>
        <v>490000</v>
      </c>
      <c r="AC338" s="284">
        <f>((W338*$B$329)+(AB338*$B$330))/10^6</f>
        <v>644</v>
      </c>
    </row>
    <row r="339" spans="1:29">
      <c r="A339" s="1265"/>
      <c r="B339" s="1119"/>
      <c r="C339" s="1119"/>
      <c r="D339" s="1119"/>
      <c r="E339" s="1119"/>
      <c r="F339" s="1119"/>
      <c r="G339" s="1119"/>
      <c r="H339" s="1119"/>
      <c r="I339" s="1119"/>
      <c r="J339" s="1266"/>
      <c r="K339" s="276">
        <v>2</v>
      </c>
      <c r="L339" s="280">
        <f>L338+$B$328</f>
        <v>1100000</v>
      </c>
      <c r="M339" s="280">
        <f t="shared" si="14"/>
        <v>128000</v>
      </c>
      <c r="N339" s="276"/>
      <c r="O339" s="282">
        <f t="shared" ref="O339:O361" si="15">$B$328</f>
        <v>50000</v>
      </c>
      <c r="P339" s="282"/>
      <c r="Q339" s="282">
        <f>(L339-R338-N339-O339-P339)*0.6</f>
        <v>192000</v>
      </c>
      <c r="R339" s="283">
        <f t="shared" ref="R339:R348" si="16">O339+P339+Q339+N339+R338</f>
        <v>972000</v>
      </c>
      <c r="S339" s="284">
        <f t="shared" ref="S339:S362" si="17">((M339*$B$329)+(R339*$B$330))/10^6</f>
        <v>491.2</v>
      </c>
      <c r="T339" s="211"/>
      <c r="U339" s="276">
        <v>2</v>
      </c>
      <c r="V339" s="280">
        <f>V338+$B$328</f>
        <v>1100000</v>
      </c>
      <c r="W339" s="280">
        <f t="shared" ref="W339:W362" si="18">V339-AB339</f>
        <v>392000</v>
      </c>
      <c r="X339" s="276"/>
      <c r="Y339" s="282">
        <f t="shared" ref="Y339:Y361" si="19">$B$328</f>
        <v>50000</v>
      </c>
      <c r="Z339" s="282"/>
      <c r="AA339" s="282">
        <f>(V339-AB338-X339-Y339-Z339)*0.3</f>
        <v>168000</v>
      </c>
      <c r="AB339" s="283">
        <f t="shared" ref="AB339:AB348" si="20">Y339+Z339+AA339+X339+AB338</f>
        <v>708000</v>
      </c>
      <c r="AC339" s="284">
        <f t="shared" ref="AC339:AC362" si="21">((W339*$B$329)+(AB339*$B$330))/10^6</f>
        <v>596.79999999999995</v>
      </c>
    </row>
    <row r="340" spans="1:29">
      <c r="A340" s="1265"/>
      <c r="B340" s="1119"/>
      <c r="C340" s="1119"/>
      <c r="D340" s="1119"/>
      <c r="E340" s="1119"/>
      <c r="F340" s="1119"/>
      <c r="G340" s="1119"/>
      <c r="H340" s="1119"/>
      <c r="I340" s="1119"/>
      <c r="J340" s="1266"/>
      <c r="K340" s="276">
        <v>3</v>
      </c>
      <c r="L340" s="280">
        <f t="shared" ref="L340:L362" si="22">L339+$B$328</f>
        <v>1150000</v>
      </c>
      <c r="M340" s="280">
        <f t="shared" si="14"/>
        <v>51200</v>
      </c>
      <c r="N340" s="276"/>
      <c r="O340" s="282">
        <f t="shared" si="15"/>
        <v>50000</v>
      </c>
      <c r="P340" s="282"/>
      <c r="Q340" s="282">
        <f>(L340-R339-N340-O340-P340)*0.6</f>
        <v>76800</v>
      </c>
      <c r="R340" s="283">
        <f t="shared" si="16"/>
        <v>1098800</v>
      </c>
      <c r="S340" s="284">
        <f t="shared" si="17"/>
        <v>480.48</v>
      </c>
      <c r="T340" s="211"/>
      <c r="U340" s="276">
        <v>3</v>
      </c>
      <c r="V340" s="280">
        <f t="shared" ref="V340:V362" si="23">V339+$B$328</f>
        <v>1150000</v>
      </c>
      <c r="W340" s="280">
        <f t="shared" si="18"/>
        <v>274400</v>
      </c>
      <c r="X340" s="276"/>
      <c r="Y340" s="282">
        <f t="shared" si="19"/>
        <v>50000</v>
      </c>
      <c r="Z340" s="282"/>
      <c r="AA340" s="282">
        <f>(V340-AB339-X340-Y340-Z340)*0.3</f>
        <v>117600</v>
      </c>
      <c r="AB340" s="283">
        <f t="shared" si="20"/>
        <v>875600</v>
      </c>
      <c r="AC340" s="284">
        <f t="shared" si="21"/>
        <v>569.76</v>
      </c>
    </row>
    <row r="341" spans="1:29">
      <c r="A341" s="1265"/>
      <c r="B341" s="1119"/>
      <c r="C341" s="1119"/>
      <c r="D341" s="1119"/>
      <c r="E341" s="1119"/>
      <c r="F341" s="1119"/>
      <c r="G341" s="1119"/>
      <c r="H341" s="1119"/>
      <c r="I341" s="1119"/>
      <c r="J341" s="1266"/>
      <c r="K341" s="276">
        <v>4</v>
      </c>
      <c r="L341" s="280">
        <f t="shared" si="22"/>
        <v>1200000</v>
      </c>
      <c r="M341" s="280">
        <f t="shared" si="14"/>
        <v>20480</v>
      </c>
      <c r="N341" s="276"/>
      <c r="O341" s="282">
        <f t="shared" si="15"/>
        <v>50000</v>
      </c>
      <c r="P341" s="282"/>
      <c r="Q341" s="282">
        <f>(L341-R340-N341-O341-P341)*0.6</f>
        <v>30720</v>
      </c>
      <c r="R341" s="283">
        <f t="shared" si="16"/>
        <v>1179520</v>
      </c>
      <c r="S341" s="284">
        <f t="shared" si="17"/>
        <v>488.19200000000001</v>
      </c>
      <c r="T341" s="211"/>
      <c r="U341" s="276">
        <v>4</v>
      </c>
      <c r="V341" s="280">
        <f t="shared" si="23"/>
        <v>1200000</v>
      </c>
      <c r="W341" s="280">
        <f t="shared" si="18"/>
        <v>192080</v>
      </c>
      <c r="X341" s="276"/>
      <c r="Y341" s="282">
        <f t="shared" si="19"/>
        <v>50000</v>
      </c>
      <c r="Z341" s="282"/>
      <c r="AA341" s="282">
        <f>(V341-AB340-X341-Y341-Z341)*0.3</f>
        <v>82320</v>
      </c>
      <c r="AB341" s="283">
        <f t="shared" si="20"/>
        <v>1007920</v>
      </c>
      <c r="AC341" s="284">
        <f t="shared" si="21"/>
        <v>556.83199999999999</v>
      </c>
    </row>
    <row r="342" spans="1:29">
      <c r="A342" s="1213"/>
      <c r="B342" s="1120"/>
      <c r="C342" s="1120"/>
      <c r="D342" s="1120"/>
      <c r="E342" s="1120"/>
      <c r="F342" s="1120"/>
      <c r="G342" s="1120"/>
      <c r="H342" s="1120"/>
      <c r="I342" s="1120"/>
      <c r="J342" s="1214"/>
      <c r="K342" s="276">
        <v>5</v>
      </c>
      <c r="L342" s="280">
        <f t="shared" si="22"/>
        <v>1250000</v>
      </c>
      <c r="M342" s="280">
        <f t="shared" si="14"/>
        <v>8192</v>
      </c>
      <c r="N342" s="276"/>
      <c r="O342" s="282">
        <f t="shared" si="15"/>
        <v>50000</v>
      </c>
      <c r="P342" s="282"/>
      <c r="Q342" s="282">
        <f>(L342-R341-N342-O342-P342)*0.6</f>
        <v>12288</v>
      </c>
      <c r="R342" s="283">
        <f t="shared" si="16"/>
        <v>1241808</v>
      </c>
      <c r="S342" s="284">
        <f t="shared" si="17"/>
        <v>503.27679999999998</v>
      </c>
      <c r="T342" s="211"/>
      <c r="U342" s="276">
        <v>5</v>
      </c>
      <c r="V342" s="280">
        <f t="shared" si="23"/>
        <v>1250000</v>
      </c>
      <c r="W342" s="280">
        <f t="shared" si="18"/>
        <v>134456</v>
      </c>
      <c r="X342" s="276"/>
      <c r="Y342" s="282">
        <f t="shared" si="19"/>
        <v>50000</v>
      </c>
      <c r="Z342" s="282"/>
      <c r="AA342" s="282">
        <f>(V342-AB341-X342-Y342-Z342)*0.3</f>
        <v>57624</v>
      </c>
      <c r="AB342" s="283">
        <f t="shared" si="20"/>
        <v>1115544</v>
      </c>
      <c r="AC342" s="284">
        <f t="shared" si="21"/>
        <v>553.78240000000005</v>
      </c>
    </row>
    <row r="343" spans="1:29">
      <c r="A343" s="86"/>
      <c r="B343" s="86"/>
      <c r="C343" s="86"/>
      <c r="D343" s="86"/>
      <c r="E343" s="86"/>
      <c r="F343" s="86"/>
      <c r="G343" s="86"/>
      <c r="H343" s="86"/>
      <c r="I343" s="86"/>
      <c r="J343" s="86"/>
      <c r="K343" s="276">
        <v>6</v>
      </c>
      <c r="L343" s="280">
        <f t="shared" si="22"/>
        <v>1300000</v>
      </c>
      <c r="M343" s="280">
        <f t="shared" si="14"/>
        <v>0</v>
      </c>
      <c r="N343" s="281">
        <f>M342</f>
        <v>8192</v>
      </c>
      <c r="O343" s="282">
        <f t="shared" si="15"/>
        <v>50000</v>
      </c>
      <c r="P343" s="282"/>
      <c r="Q343" s="282"/>
      <c r="R343" s="283">
        <f t="shared" si="16"/>
        <v>1300000</v>
      </c>
      <c r="S343" s="284">
        <f t="shared" si="17"/>
        <v>520</v>
      </c>
      <c r="T343" s="211"/>
      <c r="U343" s="276">
        <v>6</v>
      </c>
      <c r="V343" s="280">
        <f t="shared" si="23"/>
        <v>1300000</v>
      </c>
      <c r="W343" s="280">
        <f t="shared" si="18"/>
        <v>0</v>
      </c>
      <c r="X343" s="281">
        <f>W342</f>
        <v>134456</v>
      </c>
      <c r="Y343" s="282">
        <f t="shared" si="19"/>
        <v>50000</v>
      </c>
      <c r="Z343" s="282"/>
      <c r="AA343" s="282"/>
      <c r="AB343" s="283">
        <f t="shared" si="20"/>
        <v>1300000</v>
      </c>
      <c r="AC343" s="284">
        <f t="shared" si="21"/>
        <v>520</v>
      </c>
    </row>
    <row r="344" spans="1:29">
      <c r="K344" s="276">
        <v>7</v>
      </c>
      <c r="L344" s="280">
        <f t="shared" si="22"/>
        <v>1350000</v>
      </c>
      <c r="M344" s="280">
        <f t="shared" si="14"/>
        <v>0</v>
      </c>
      <c r="N344" s="276"/>
      <c r="O344" s="282">
        <f t="shared" si="15"/>
        <v>50000</v>
      </c>
      <c r="P344" s="282"/>
      <c r="Q344" s="282"/>
      <c r="R344" s="283">
        <f t="shared" si="16"/>
        <v>1350000</v>
      </c>
      <c r="S344" s="284">
        <f t="shared" si="17"/>
        <v>540</v>
      </c>
      <c r="T344" s="211"/>
      <c r="U344" s="276">
        <v>7</v>
      </c>
      <c r="V344" s="280">
        <f t="shared" si="23"/>
        <v>1350000</v>
      </c>
      <c r="W344" s="280">
        <f t="shared" si="18"/>
        <v>0</v>
      </c>
      <c r="X344" s="276"/>
      <c r="Y344" s="282">
        <f t="shared" si="19"/>
        <v>50000</v>
      </c>
      <c r="Z344" s="282"/>
      <c r="AA344" s="282"/>
      <c r="AB344" s="283">
        <f t="shared" si="20"/>
        <v>1350000</v>
      </c>
      <c r="AC344" s="284">
        <f t="shared" si="21"/>
        <v>540</v>
      </c>
    </row>
    <row r="345" spans="1:29">
      <c r="K345" s="276">
        <v>8</v>
      </c>
      <c r="L345" s="280">
        <f t="shared" si="22"/>
        <v>1400000</v>
      </c>
      <c r="M345" s="280">
        <f t="shared" si="14"/>
        <v>0</v>
      </c>
      <c r="N345" s="276"/>
      <c r="O345" s="282">
        <f t="shared" si="15"/>
        <v>50000</v>
      </c>
      <c r="P345" s="282"/>
      <c r="Q345" s="282"/>
      <c r="R345" s="283">
        <f t="shared" si="16"/>
        <v>1400000</v>
      </c>
      <c r="S345" s="284">
        <f t="shared" si="17"/>
        <v>560</v>
      </c>
      <c r="T345" s="211"/>
      <c r="U345" s="276">
        <v>8</v>
      </c>
      <c r="V345" s="280">
        <f t="shared" si="23"/>
        <v>1400000</v>
      </c>
      <c r="W345" s="280">
        <f t="shared" si="18"/>
        <v>0</v>
      </c>
      <c r="X345" s="276"/>
      <c r="Y345" s="282">
        <f t="shared" si="19"/>
        <v>50000</v>
      </c>
      <c r="Z345" s="282"/>
      <c r="AA345" s="282"/>
      <c r="AB345" s="283">
        <f t="shared" si="20"/>
        <v>1400000</v>
      </c>
      <c r="AC345" s="284">
        <f t="shared" si="21"/>
        <v>560</v>
      </c>
    </row>
    <row r="346" spans="1:29">
      <c r="K346" s="276">
        <v>9</v>
      </c>
      <c r="L346" s="280">
        <f t="shared" si="22"/>
        <v>1450000</v>
      </c>
      <c r="M346" s="280">
        <f t="shared" si="14"/>
        <v>0</v>
      </c>
      <c r="N346" s="276"/>
      <c r="O346" s="282">
        <f t="shared" si="15"/>
        <v>50000</v>
      </c>
      <c r="P346" s="282"/>
      <c r="Q346" s="282"/>
      <c r="R346" s="283">
        <f t="shared" si="16"/>
        <v>1450000</v>
      </c>
      <c r="S346" s="284">
        <f t="shared" si="17"/>
        <v>580</v>
      </c>
      <c r="T346" s="211"/>
      <c r="U346" s="276">
        <v>9</v>
      </c>
      <c r="V346" s="280">
        <f t="shared" si="23"/>
        <v>1450000</v>
      </c>
      <c r="W346" s="280">
        <f t="shared" si="18"/>
        <v>0</v>
      </c>
      <c r="X346" s="276"/>
      <c r="Y346" s="282">
        <f t="shared" si="19"/>
        <v>50000</v>
      </c>
      <c r="Z346" s="282"/>
      <c r="AA346" s="282"/>
      <c r="AB346" s="283">
        <f t="shared" si="20"/>
        <v>1450000</v>
      </c>
      <c r="AC346" s="284">
        <f t="shared" si="21"/>
        <v>580</v>
      </c>
    </row>
    <row r="347" spans="1:29">
      <c r="K347" s="276">
        <v>10</v>
      </c>
      <c r="L347" s="280">
        <f t="shared" si="22"/>
        <v>1500000</v>
      </c>
      <c r="M347" s="280">
        <f t="shared" si="14"/>
        <v>0</v>
      </c>
      <c r="N347" s="276"/>
      <c r="O347" s="282">
        <f t="shared" si="15"/>
        <v>50000</v>
      </c>
      <c r="P347" s="282"/>
      <c r="Q347" s="282"/>
      <c r="R347" s="283">
        <f t="shared" si="16"/>
        <v>1500000</v>
      </c>
      <c r="S347" s="284">
        <f t="shared" si="17"/>
        <v>600</v>
      </c>
      <c r="T347" s="211"/>
      <c r="U347" s="276">
        <v>10</v>
      </c>
      <c r="V347" s="280">
        <f t="shared" si="23"/>
        <v>1500000</v>
      </c>
      <c r="W347" s="280">
        <f t="shared" si="18"/>
        <v>0</v>
      </c>
      <c r="X347" s="276"/>
      <c r="Y347" s="282">
        <f t="shared" si="19"/>
        <v>50000</v>
      </c>
      <c r="Z347" s="282"/>
      <c r="AA347" s="282"/>
      <c r="AB347" s="283">
        <f t="shared" si="20"/>
        <v>1500000</v>
      </c>
      <c r="AC347" s="284">
        <f t="shared" si="21"/>
        <v>600</v>
      </c>
    </row>
    <row r="348" spans="1:29">
      <c r="K348" s="276">
        <v>11</v>
      </c>
      <c r="L348" s="280">
        <f t="shared" si="22"/>
        <v>1550000</v>
      </c>
      <c r="M348" s="280">
        <f t="shared" si="14"/>
        <v>0</v>
      </c>
      <c r="N348" s="281"/>
      <c r="O348" s="282">
        <f t="shared" si="15"/>
        <v>50000</v>
      </c>
      <c r="P348" s="282"/>
      <c r="Q348" s="282"/>
      <c r="R348" s="283">
        <f t="shared" si="16"/>
        <v>1550000</v>
      </c>
      <c r="S348" s="284">
        <f t="shared" si="17"/>
        <v>620</v>
      </c>
      <c r="T348" s="211"/>
      <c r="U348" s="276">
        <v>11</v>
      </c>
      <c r="V348" s="280">
        <f t="shared" si="23"/>
        <v>1550000</v>
      </c>
      <c r="W348" s="280">
        <f t="shared" si="18"/>
        <v>0</v>
      </c>
      <c r="X348" s="281"/>
      <c r="Y348" s="282">
        <f t="shared" si="19"/>
        <v>50000</v>
      </c>
      <c r="Z348" s="282"/>
      <c r="AA348" s="282"/>
      <c r="AB348" s="283">
        <f t="shared" si="20"/>
        <v>1550000</v>
      </c>
      <c r="AC348" s="284">
        <f t="shared" si="21"/>
        <v>620</v>
      </c>
    </row>
    <row r="349" spans="1:29">
      <c r="K349" s="276">
        <v>12</v>
      </c>
      <c r="L349" s="280">
        <f t="shared" si="22"/>
        <v>1600000</v>
      </c>
      <c r="M349" s="280">
        <f t="shared" si="14"/>
        <v>0</v>
      </c>
      <c r="N349" s="276"/>
      <c r="O349" s="282">
        <f t="shared" si="15"/>
        <v>50000</v>
      </c>
      <c r="P349" s="282"/>
      <c r="Q349" s="282"/>
      <c r="R349" s="283">
        <f t="shared" ref="R349:R362" si="24">O349+P349+Q349+R348</f>
        <v>1600000</v>
      </c>
      <c r="S349" s="284">
        <f t="shared" si="17"/>
        <v>640</v>
      </c>
      <c r="T349" s="211"/>
      <c r="U349" s="276">
        <v>12</v>
      </c>
      <c r="V349" s="280">
        <f t="shared" si="23"/>
        <v>1600000</v>
      </c>
      <c r="W349" s="280">
        <f t="shared" si="18"/>
        <v>0</v>
      </c>
      <c r="X349" s="276"/>
      <c r="Y349" s="282">
        <f t="shared" si="19"/>
        <v>50000</v>
      </c>
      <c r="Z349" s="282"/>
      <c r="AA349" s="282"/>
      <c r="AB349" s="283">
        <f t="shared" ref="AB349:AB362" si="25">Y349+Z349+AA349+AB348</f>
        <v>1600000</v>
      </c>
      <c r="AC349" s="284">
        <f t="shared" si="21"/>
        <v>640</v>
      </c>
    </row>
    <row r="350" spans="1:29">
      <c r="K350" s="276">
        <v>13</v>
      </c>
      <c r="L350" s="280">
        <f t="shared" si="22"/>
        <v>1650000</v>
      </c>
      <c r="M350" s="280">
        <f t="shared" si="14"/>
        <v>0</v>
      </c>
      <c r="N350" s="276"/>
      <c r="O350" s="282">
        <f t="shared" si="15"/>
        <v>50000</v>
      </c>
      <c r="P350" s="282"/>
      <c r="Q350" s="282"/>
      <c r="R350" s="283">
        <f t="shared" si="24"/>
        <v>1650000</v>
      </c>
      <c r="S350" s="284">
        <f t="shared" si="17"/>
        <v>660</v>
      </c>
      <c r="T350" s="211"/>
      <c r="U350" s="276">
        <v>13</v>
      </c>
      <c r="V350" s="280">
        <f t="shared" si="23"/>
        <v>1650000</v>
      </c>
      <c r="W350" s="280">
        <f t="shared" si="18"/>
        <v>0</v>
      </c>
      <c r="X350" s="276"/>
      <c r="Y350" s="282">
        <f t="shared" si="19"/>
        <v>50000</v>
      </c>
      <c r="Z350" s="282"/>
      <c r="AA350" s="282"/>
      <c r="AB350" s="283">
        <f t="shared" si="25"/>
        <v>1650000</v>
      </c>
      <c r="AC350" s="284">
        <f t="shared" si="21"/>
        <v>660</v>
      </c>
    </row>
    <row r="351" spans="1:29">
      <c r="K351" s="276">
        <v>14</v>
      </c>
      <c r="L351" s="280">
        <f t="shared" si="22"/>
        <v>1700000</v>
      </c>
      <c r="M351" s="280">
        <f t="shared" si="14"/>
        <v>0</v>
      </c>
      <c r="N351" s="276"/>
      <c r="O351" s="282">
        <f t="shared" si="15"/>
        <v>50000</v>
      </c>
      <c r="P351" s="282"/>
      <c r="Q351" s="282"/>
      <c r="R351" s="283">
        <f t="shared" si="24"/>
        <v>1700000</v>
      </c>
      <c r="S351" s="284">
        <f t="shared" si="17"/>
        <v>680</v>
      </c>
      <c r="T351" s="211"/>
      <c r="U351" s="276">
        <v>14</v>
      </c>
      <c r="V351" s="280">
        <f t="shared" si="23"/>
        <v>1700000</v>
      </c>
      <c r="W351" s="280">
        <f t="shared" si="18"/>
        <v>0</v>
      </c>
      <c r="X351" s="276"/>
      <c r="Y351" s="282">
        <f t="shared" si="19"/>
        <v>50000</v>
      </c>
      <c r="Z351" s="282"/>
      <c r="AA351" s="282"/>
      <c r="AB351" s="283">
        <f t="shared" si="25"/>
        <v>1700000</v>
      </c>
      <c r="AC351" s="284">
        <f t="shared" si="21"/>
        <v>680</v>
      </c>
    </row>
    <row r="352" spans="1:29">
      <c r="K352" s="276">
        <v>15</v>
      </c>
      <c r="L352" s="280">
        <f t="shared" si="22"/>
        <v>1750000</v>
      </c>
      <c r="M352" s="280">
        <f t="shared" si="14"/>
        <v>0</v>
      </c>
      <c r="N352" s="276"/>
      <c r="O352" s="282">
        <f t="shared" si="15"/>
        <v>50000</v>
      </c>
      <c r="P352" s="282"/>
      <c r="Q352" s="282"/>
      <c r="R352" s="283">
        <f t="shared" si="24"/>
        <v>1750000</v>
      </c>
      <c r="S352" s="284">
        <f t="shared" si="17"/>
        <v>700</v>
      </c>
      <c r="T352" s="211"/>
      <c r="U352" s="276">
        <v>15</v>
      </c>
      <c r="V352" s="280">
        <f t="shared" si="23"/>
        <v>1750000</v>
      </c>
      <c r="W352" s="280">
        <f t="shared" si="18"/>
        <v>0</v>
      </c>
      <c r="X352" s="276"/>
      <c r="Y352" s="282">
        <f t="shared" si="19"/>
        <v>50000</v>
      </c>
      <c r="Z352" s="282"/>
      <c r="AA352" s="282"/>
      <c r="AB352" s="283">
        <f t="shared" si="25"/>
        <v>1750000</v>
      </c>
      <c r="AC352" s="284">
        <f t="shared" si="21"/>
        <v>700</v>
      </c>
    </row>
    <row r="353" spans="11:29">
      <c r="K353" s="276">
        <v>16</v>
      </c>
      <c r="L353" s="280">
        <f t="shared" si="22"/>
        <v>1800000</v>
      </c>
      <c r="M353" s="280">
        <f t="shared" si="14"/>
        <v>0</v>
      </c>
      <c r="N353" s="281"/>
      <c r="O353" s="282">
        <f t="shared" si="15"/>
        <v>50000</v>
      </c>
      <c r="P353" s="282"/>
      <c r="Q353" s="282"/>
      <c r="R353" s="283">
        <f t="shared" si="24"/>
        <v>1800000</v>
      </c>
      <c r="S353" s="284">
        <f t="shared" si="17"/>
        <v>720</v>
      </c>
      <c r="T353" s="211"/>
      <c r="U353" s="276">
        <v>16</v>
      </c>
      <c r="V353" s="280">
        <f t="shared" si="23"/>
        <v>1800000</v>
      </c>
      <c r="W353" s="280">
        <f t="shared" si="18"/>
        <v>0</v>
      </c>
      <c r="X353" s="281"/>
      <c r="Y353" s="282">
        <f t="shared" si="19"/>
        <v>50000</v>
      </c>
      <c r="Z353" s="282"/>
      <c r="AA353" s="282"/>
      <c r="AB353" s="283">
        <f t="shared" si="25"/>
        <v>1800000</v>
      </c>
      <c r="AC353" s="284">
        <f t="shared" si="21"/>
        <v>720</v>
      </c>
    </row>
    <row r="354" spans="11:29">
      <c r="K354" s="276">
        <v>17</v>
      </c>
      <c r="L354" s="280">
        <f t="shared" si="22"/>
        <v>1850000</v>
      </c>
      <c r="M354" s="280">
        <f t="shared" si="14"/>
        <v>0</v>
      </c>
      <c r="N354" s="276"/>
      <c r="O354" s="282">
        <f t="shared" si="15"/>
        <v>50000</v>
      </c>
      <c r="P354" s="282"/>
      <c r="Q354" s="282"/>
      <c r="R354" s="283">
        <f t="shared" si="24"/>
        <v>1850000</v>
      </c>
      <c r="S354" s="284">
        <f t="shared" si="17"/>
        <v>740</v>
      </c>
      <c r="T354" s="211"/>
      <c r="U354" s="276">
        <v>17</v>
      </c>
      <c r="V354" s="280">
        <f t="shared" si="23"/>
        <v>1850000</v>
      </c>
      <c r="W354" s="280">
        <f t="shared" si="18"/>
        <v>0</v>
      </c>
      <c r="X354" s="276"/>
      <c r="Y354" s="282">
        <f t="shared" si="19"/>
        <v>50000</v>
      </c>
      <c r="Z354" s="282"/>
      <c r="AA354" s="282"/>
      <c r="AB354" s="283">
        <f t="shared" si="25"/>
        <v>1850000</v>
      </c>
      <c r="AC354" s="284">
        <f t="shared" si="21"/>
        <v>740</v>
      </c>
    </row>
    <row r="355" spans="11:29">
      <c r="K355" s="276">
        <v>18</v>
      </c>
      <c r="L355" s="280">
        <f t="shared" si="22"/>
        <v>1900000</v>
      </c>
      <c r="M355" s="280">
        <f t="shared" si="14"/>
        <v>0</v>
      </c>
      <c r="N355" s="276"/>
      <c r="O355" s="282">
        <f t="shared" si="15"/>
        <v>50000</v>
      </c>
      <c r="P355" s="282"/>
      <c r="Q355" s="282"/>
      <c r="R355" s="283">
        <f t="shared" si="24"/>
        <v>1900000</v>
      </c>
      <c r="S355" s="284">
        <f t="shared" si="17"/>
        <v>760</v>
      </c>
      <c r="T355" s="211"/>
      <c r="U355" s="276">
        <v>18</v>
      </c>
      <c r="V355" s="280">
        <f t="shared" si="23"/>
        <v>1900000</v>
      </c>
      <c r="W355" s="280">
        <f t="shared" si="18"/>
        <v>0</v>
      </c>
      <c r="X355" s="276"/>
      <c r="Y355" s="282">
        <f t="shared" si="19"/>
        <v>50000</v>
      </c>
      <c r="Z355" s="282"/>
      <c r="AA355" s="282"/>
      <c r="AB355" s="283">
        <f t="shared" si="25"/>
        <v>1900000</v>
      </c>
      <c r="AC355" s="284">
        <f t="shared" si="21"/>
        <v>760</v>
      </c>
    </row>
    <row r="356" spans="11:29">
      <c r="K356" s="276">
        <v>19</v>
      </c>
      <c r="L356" s="280">
        <f t="shared" si="22"/>
        <v>1950000</v>
      </c>
      <c r="M356" s="280">
        <f t="shared" si="14"/>
        <v>0</v>
      </c>
      <c r="N356" s="276"/>
      <c r="O356" s="282">
        <f t="shared" si="15"/>
        <v>50000</v>
      </c>
      <c r="P356" s="282"/>
      <c r="Q356" s="282"/>
      <c r="R356" s="283">
        <f t="shared" si="24"/>
        <v>1950000</v>
      </c>
      <c r="S356" s="284">
        <f t="shared" si="17"/>
        <v>780</v>
      </c>
      <c r="T356" s="211"/>
      <c r="U356" s="276">
        <v>19</v>
      </c>
      <c r="V356" s="280">
        <f t="shared" si="23"/>
        <v>1950000</v>
      </c>
      <c r="W356" s="280">
        <f t="shared" si="18"/>
        <v>0</v>
      </c>
      <c r="X356" s="276"/>
      <c r="Y356" s="282">
        <f t="shared" si="19"/>
        <v>50000</v>
      </c>
      <c r="Z356" s="282"/>
      <c r="AA356" s="282"/>
      <c r="AB356" s="283">
        <f t="shared" si="25"/>
        <v>1950000</v>
      </c>
      <c r="AC356" s="284">
        <f t="shared" si="21"/>
        <v>780</v>
      </c>
    </row>
    <row r="357" spans="11:29">
      <c r="K357" s="276">
        <v>20</v>
      </c>
      <c r="L357" s="280">
        <f t="shared" si="22"/>
        <v>2000000</v>
      </c>
      <c r="M357" s="280">
        <f t="shared" si="14"/>
        <v>0</v>
      </c>
      <c r="N357" s="276"/>
      <c r="O357" s="282">
        <f t="shared" si="15"/>
        <v>50000</v>
      </c>
      <c r="P357" s="282"/>
      <c r="Q357" s="282"/>
      <c r="R357" s="283">
        <f t="shared" si="24"/>
        <v>2000000</v>
      </c>
      <c r="S357" s="284">
        <f t="shared" si="17"/>
        <v>800</v>
      </c>
      <c r="T357" s="211"/>
      <c r="U357" s="276">
        <v>20</v>
      </c>
      <c r="V357" s="280">
        <f t="shared" si="23"/>
        <v>2000000</v>
      </c>
      <c r="W357" s="280">
        <f t="shared" si="18"/>
        <v>0</v>
      </c>
      <c r="X357" s="276"/>
      <c r="Y357" s="282">
        <f t="shared" si="19"/>
        <v>50000</v>
      </c>
      <c r="Z357" s="282"/>
      <c r="AA357" s="282"/>
      <c r="AB357" s="283">
        <f t="shared" si="25"/>
        <v>2000000</v>
      </c>
      <c r="AC357" s="284">
        <f t="shared" si="21"/>
        <v>800</v>
      </c>
    </row>
    <row r="358" spans="11:29">
      <c r="K358" s="276">
        <v>21</v>
      </c>
      <c r="L358" s="280">
        <f t="shared" si="22"/>
        <v>2050000</v>
      </c>
      <c r="M358" s="280">
        <f t="shared" si="14"/>
        <v>0</v>
      </c>
      <c r="N358" s="281"/>
      <c r="O358" s="282">
        <f t="shared" si="15"/>
        <v>50000</v>
      </c>
      <c r="P358" s="282"/>
      <c r="Q358" s="282"/>
      <c r="R358" s="283">
        <f t="shared" si="24"/>
        <v>2050000</v>
      </c>
      <c r="S358" s="284">
        <f t="shared" si="17"/>
        <v>820</v>
      </c>
      <c r="T358" s="211"/>
      <c r="U358" s="276">
        <v>21</v>
      </c>
      <c r="V358" s="280">
        <f t="shared" si="23"/>
        <v>2050000</v>
      </c>
      <c r="W358" s="280">
        <f t="shared" si="18"/>
        <v>0</v>
      </c>
      <c r="X358" s="281"/>
      <c r="Y358" s="282">
        <f t="shared" si="19"/>
        <v>50000</v>
      </c>
      <c r="Z358" s="282"/>
      <c r="AA358" s="282"/>
      <c r="AB358" s="283">
        <f t="shared" si="25"/>
        <v>2050000</v>
      </c>
      <c r="AC358" s="284">
        <f t="shared" si="21"/>
        <v>820</v>
      </c>
    </row>
    <row r="359" spans="11:29">
      <c r="K359" s="276">
        <v>22</v>
      </c>
      <c r="L359" s="280">
        <f t="shared" si="22"/>
        <v>2100000</v>
      </c>
      <c r="M359" s="280">
        <f t="shared" si="14"/>
        <v>0</v>
      </c>
      <c r="N359" s="276"/>
      <c r="O359" s="282">
        <f t="shared" si="15"/>
        <v>50000</v>
      </c>
      <c r="P359" s="282"/>
      <c r="Q359" s="282"/>
      <c r="R359" s="283">
        <f t="shared" si="24"/>
        <v>2100000</v>
      </c>
      <c r="S359" s="284">
        <f t="shared" si="17"/>
        <v>840</v>
      </c>
      <c r="T359" s="211"/>
      <c r="U359" s="276">
        <v>22</v>
      </c>
      <c r="V359" s="280">
        <f t="shared" si="23"/>
        <v>2100000</v>
      </c>
      <c r="W359" s="280">
        <f t="shared" si="18"/>
        <v>0</v>
      </c>
      <c r="X359" s="276"/>
      <c r="Y359" s="282">
        <f t="shared" si="19"/>
        <v>50000</v>
      </c>
      <c r="Z359" s="282"/>
      <c r="AA359" s="282"/>
      <c r="AB359" s="283">
        <f t="shared" si="25"/>
        <v>2100000</v>
      </c>
      <c r="AC359" s="284">
        <f t="shared" si="21"/>
        <v>840</v>
      </c>
    </row>
    <row r="360" spans="11:29">
      <c r="K360" s="276">
        <v>23</v>
      </c>
      <c r="L360" s="280">
        <f t="shared" si="22"/>
        <v>2150000</v>
      </c>
      <c r="M360" s="280">
        <f t="shared" si="14"/>
        <v>0</v>
      </c>
      <c r="N360" s="276"/>
      <c r="O360" s="282">
        <f t="shared" si="15"/>
        <v>50000</v>
      </c>
      <c r="P360" s="282"/>
      <c r="Q360" s="282"/>
      <c r="R360" s="283">
        <f t="shared" si="24"/>
        <v>2150000</v>
      </c>
      <c r="S360" s="284">
        <f t="shared" si="17"/>
        <v>860</v>
      </c>
      <c r="T360" s="211"/>
      <c r="U360" s="276">
        <v>23</v>
      </c>
      <c r="V360" s="280">
        <f t="shared" si="23"/>
        <v>2150000</v>
      </c>
      <c r="W360" s="280">
        <f t="shared" si="18"/>
        <v>0</v>
      </c>
      <c r="X360" s="276"/>
      <c r="Y360" s="282">
        <f t="shared" si="19"/>
        <v>50000</v>
      </c>
      <c r="Z360" s="282"/>
      <c r="AA360" s="282"/>
      <c r="AB360" s="283">
        <f t="shared" si="25"/>
        <v>2150000</v>
      </c>
      <c r="AC360" s="284">
        <f t="shared" si="21"/>
        <v>860</v>
      </c>
    </row>
    <row r="361" spans="11:29">
      <c r="K361" s="276">
        <v>24</v>
      </c>
      <c r="L361" s="280">
        <f t="shared" si="22"/>
        <v>2200000</v>
      </c>
      <c r="M361" s="280">
        <f t="shared" si="14"/>
        <v>0</v>
      </c>
      <c r="N361" s="276"/>
      <c r="O361" s="282">
        <f t="shared" si="15"/>
        <v>50000</v>
      </c>
      <c r="P361" s="282"/>
      <c r="Q361" s="282"/>
      <c r="R361" s="283">
        <f t="shared" si="24"/>
        <v>2200000</v>
      </c>
      <c r="S361" s="284">
        <f t="shared" si="17"/>
        <v>880</v>
      </c>
      <c r="T361" s="211"/>
      <c r="U361" s="276">
        <v>24</v>
      </c>
      <c r="V361" s="280">
        <f t="shared" si="23"/>
        <v>2200000</v>
      </c>
      <c r="W361" s="280">
        <f t="shared" si="18"/>
        <v>0</v>
      </c>
      <c r="X361" s="276"/>
      <c r="Y361" s="282">
        <f t="shared" si="19"/>
        <v>50000</v>
      </c>
      <c r="Z361" s="282"/>
      <c r="AA361" s="282"/>
      <c r="AB361" s="283">
        <f t="shared" si="25"/>
        <v>2200000</v>
      </c>
      <c r="AC361" s="284">
        <f t="shared" si="21"/>
        <v>880</v>
      </c>
    </row>
    <row r="362" spans="11:29" ht="15.75" thickBot="1">
      <c r="K362" s="272">
        <v>25</v>
      </c>
      <c r="L362" s="285">
        <f t="shared" si="22"/>
        <v>2250000</v>
      </c>
      <c r="M362" s="285">
        <f t="shared" si="14"/>
        <v>0</v>
      </c>
      <c r="N362" s="272"/>
      <c r="O362" s="286">
        <f>$B$328</f>
        <v>50000</v>
      </c>
      <c r="P362" s="286"/>
      <c r="Q362" s="286"/>
      <c r="R362" s="287">
        <f t="shared" si="24"/>
        <v>2250000</v>
      </c>
      <c r="S362" s="288">
        <f t="shared" si="17"/>
        <v>900</v>
      </c>
      <c r="T362" s="211"/>
      <c r="U362" s="272">
        <v>25</v>
      </c>
      <c r="V362" s="285">
        <f t="shared" si="23"/>
        <v>2250000</v>
      </c>
      <c r="W362" s="285">
        <f t="shared" si="18"/>
        <v>0</v>
      </c>
      <c r="X362" s="272"/>
      <c r="Y362" s="286">
        <f>$B$328</f>
        <v>50000</v>
      </c>
      <c r="Z362" s="286"/>
      <c r="AA362" s="286"/>
      <c r="AB362" s="287">
        <f t="shared" si="25"/>
        <v>2250000</v>
      </c>
      <c r="AC362" s="288">
        <f t="shared" si="21"/>
        <v>900</v>
      </c>
    </row>
    <row r="369" spans="1:11">
      <c r="A369" s="87"/>
      <c r="B369" s="87"/>
      <c r="C369" s="87"/>
      <c r="D369" s="87"/>
      <c r="E369" s="87"/>
      <c r="F369" s="87"/>
      <c r="G369" s="87"/>
      <c r="H369" s="87"/>
      <c r="I369" s="87"/>
      <c r="J369" s="87"/>
    </row>
    <row r="370" spans="1:11">
      <c r="A370" s="1121" t="s">
        <v>957</v>
      </c>
      <c r="B370" s="1122"/>
      <c r="C370" s="1122"/>
      <c r="D370" s="1122"/>
      <c r="E370" s="1122"/>
      <c r="F370" s="1122"/>
      <c r="G370" s="1122"/>
      <c r="H370" s="1122"/>
      <c r="I370" s="1122"/>
      <c r="J370" s="1122"/>
    </row>
    <row r="371" spans="1:11">
      <c r="A371" s="1159"/>
      <c r="B371" s="1159"/>
      <c r="C371" s="1159"/>
      <c r="D371" s="1159"/>
      <c r="E371" s="1159"/>
      <c r="F371" s="1159"/>
      <c r="G371" s="1159"/>
      <c r="H371" s="1159"/>
      <c r="I371" s="1159"/>
      <c r="J371" s="1159"/>
    </row>
    <row r="372" spans="1:11" ht="21" customHeight="1" thickBot="1">
      <c r="A372" s="529"/>
      <c r="B372" s="529" t="s">
        <v>950</v>
      </c>
      <c r="C372" s="529"/>
      <c r="D372" s="529"/>
      <c r="E372" s="529"/>
      <c r="F372" s="529"/>
      <c r="G372" s="529"/>
      <c r="H372" s="529"/>
      <c r="I372" s="529"/>
      <c r="J372" s="64"/>
    </row>
    <row r="373" spans="1:11" ht="15.75" thickBot="1">
      <c r="A373" s="529"/>
      <c r="B373" s="1249" t="s">
        <v>300</v>
      </c>
      <c r="C373" s="1016"/>
      <c r="D373" s="1250"/>
      <c r="E373" s="837" t="s">
        <v>301</v>
      </c>
      <c r="F373" s="1249" t="s">
        <v>302</v>
      </c>
      <c r="G373" s="1016"/>
      <c r="H373" s="1250"/>
      <c r="I373" s="846"/>
      <c r="J373" s="117"/>
    </row>
    <row r="374" spans="1:11">
      <c r="A374" s="529"/>
      <c r="B374" s="1233" t="s">
        <v>303</v>
      </c>
      <c r="C374" s="1234"/>
      <c r="D374" s="1234"/>
      <c r="E374" s="847">
        <v>3000</v>
      </c>
      <c r="F374" s="1251" t="s">
        <v>703</v>
      </c>
      <c r="G374" s="1252"/>
      <c r="H374" s="1236"/>
      <c r="I374" s="848">
        <v>0.6</v>
      </c>
      <c r="J374" s="64"/>
    </row>
    <row r="375" spans="1:11">
      <c r="A375" s="529"/>
      <c r="B375" s="1233" t="s">
        <v>304</v>
      </c>
      <c r="C375" s="1234"/>
      <c r="D375" s="1234"/>
      <c r="E375" s="847">
        <v>2</v>
      </c>
      <c r="F375" s="1253" t="s">
        <v>305</v>
      </c>
      <c r="G375" s="1254"/>
      <c r="H375" s="1234"/>
      <c r="I375" s="848">
        <v>0.2</v>
      </c>
      <c r="J375" s="64"/>
    </row>
    <row r="376" spans="1:11">
      <c r="A376" s="529"/>
      <c r="B376" s="1233" t="s">
        <v>306</v>
      </c>
      <c r="C376" s="1234"/>
      <c r="D376" s="1234"/>
      <c r="E376" s="849">
        <v>0.8</v>
      </c>
      <c r="F376" s="1253" t="s">
        <v>704</v>
      </c>
      <c r="G376" s="1254"/>
      <c r="H376" s="1234"/>
      <c r="I376" s="850">
        <v>36.5</v>
      </c>
      <c r="J376" s="64"/>
    </row>
    <row r="377" spans="1:11">
      <c r="A377" s="529"/>
      <c r="B377" s="1233" t="s">
        <v>307</v>
      </c>
      <c r="C377" s="1234"/>
      <c r="D377" s="1234"/>
      <c r="E377" s="847">
        <f>E375*E374*E376</f>
        <v>4800</v>
      </c>
      <c r="F377" s="1253" t="s">
        <v>308</v>
      </c>
      <c r="G377" s="1254"/>
      <c r="H377" s="1234"/>
      <c r="I377" s="850">
        <v>18.600000000000001</v>
      </c>
      <c r="J377" s="64"/>
    </row>
    <row r="378" spans="1:11">
      <c r="A378" s="529"/>
      <c r="B378" s="1233" t="s">
        <v>309</v>
      </c>
      <c r="C378" s="1234"/>
      <c r="D378" s="1234"/>
      <c r="E378" s="848">
        <v>50</v>
      </c>
      <c r="F378" s="1253" t="s">
        <v>310</v>
      </c>
      <c r="G378" s="1254"/>
      <c r="H378" s="1234"/>
      <c r="I378" s="848">
        <v>1.2</v>
      </c>
      <c r="J378" s="64"/>
      <c r="K378" s="291"/>
    </row>
    <row r="379" spans="1:11">
      <c r="A379" s="529"/>
      <c r="B379" s="1233" t="s">
        <v>311</v>
      </c>
      <c r="C379" s="1234"/>
      <c r="D379" s="1234"/>
      <c r="E379" s="849">
        <v>0.4</v>
      </c>
      <c r="F379" s="1253" t="s">
        <v>312</v>
      </c>
      <c r="G379" s="1254"/>
      <c r="H379" s="1234"/>
      <c r="I379" s="851">
        <v>0.12</v>
      </c>
      <c r="J379" s="64"/>
    </row>
    <row r="380" spans="1:11">
      <c r="A380" s="529"/>
      <c r="B380" s="1233" t="s">
        <v>313</v>
      </c>
      <c r="C380" s="1234"/>
      <c r="D380" s="1234"/>
      <c r="E380" s="848">
        <f>E378*(1-E379)</f>
        <v>30</v>
      </c>
      <c r="F380" s="1253" t="s">
        <v>314</v>
      </c>
      <c r="G380" s="1254"/>
      <c r="H380" s="1234"/>
      <c r="I380" s="851">
        <v>0.25</v>
      </c>
      <c r="J380" s="64"/>
    </row>
    <row r="381" spans="1:11" ht="15.75" thickBot="1">
      <c r="A381" s="529"/>
      <c r="B381" s="1237" t="s">
        <v>705</v>
      </c>
      <c r="C381" s="1238"/>
      <c r="D381" s="1238"/>
      <c r="E381" s="852">
        <f>E379*E378</f>
        <v>20</v>
      </c>
      <c r="F381" s="1255"/>
      <c r="G381" s="1256"/>
      <c r="H381" s="1238"/>
      <c r="I381" s="853"/>
      <c r="J381" s="64"/>
    </row>
    <row r="382" spans="1:11">
      <c r="A382" s="529"/>
      <c r="B382" s="1235" t="s">
        <v>706</v>
      </c>
      <c r="C382" s="1236"/>
      <c r="D382" s="1236"/>
      <c r="E382" s="854">
        <f>E383+E384</f>
        <v>85000</v>
      </c>
      <c r="F382" s="855"/>
      <c r="G382" s="841"/>
      <c r="H382" s="841"/>
      <c r="I382" s="856"/>
      <c r="J382" s="64"/>
    </row>
    <row r="383" spans="1:11">
      <c r="A383" s="529"/>
      <c r="B383" s="1233" t="s">
        <v>315</v>
      </c>
      <c r="C383" s="1234"/>
      <c r="D383" s="1234"/>
      <c r="E383" s="854">
        <v>5000</v>
      </c>
      <c r="F383" s="857"/>
      <c r="G383" s="858"/>
      <c r="H383" s="842"/>
      <c r="I383" s="843"/>
      <c r="J383" s="64"/>
    </row>
    <row r="384" spans="1:11">
      <c r="A384" s="529"/>
      <c r="B384" s="1233" t="s">
        <v>316</v>
      </c>
      <c r="C384" s="1234"/>
      <c r="D384" s="1234"/>
      <c r="E384" s="854">
        <f>SUM(E385:E389)</f>
        <v>80000</v>
      </c>
      <c r="F384" s="857"/>
      <c r="G384" s="858"/>
      <c r="H384" s="842"/>
      <c r="I384" s="843"/>
      <c r="J384" s="64"/>
    </row>
    <row r="385" spans="1:13">
      <c r="A385" s="529"/>
      <c r="B385" s="1233" t="s">
        <v>317</v>
      </c>
      <c r="C385" s="1234"/>
      <c r="D385" s="1234"/>
      <c r="E385" s="854">
        <v>10000</v>
      </c>
      <c r="F385" s="857"/>
      <c r="G385" s="858"/>
      <c r="H385" s="842"/>
      <c r="I385" s="843"/>
      <c r="J385" s="64"/>
    </row>
    <row r="386" spans="1:13">
      <c r="A386" s="529"/>
      <c r="B386" s="1233" t="s">
        <v>318</v>
      </c>
      <c r="C386" s="1234"/>
      <c r="D386" s="1234"/>
      <c r="E386" s="854">
        <v>50000</v>
      </c>
      <c r="F386" s="857"/>
      <c r="G386" s="858"/>
      <c r="H386" s="842"/>
      <c r="I386" s="843"/>
      <c r="J386" s="64"/>
    </row>
    <row r="387" spans="1:13">
      <c r="A387" s="529"/>
      <c r="B387" s="1233" t="s">
        <v>319</v>
      </c>
      <c r="C387" s="1234"/>
      <c r="D387" s="1234"/>
      <c r="E387" s="854">
        <v>15000</v>
      </c>
      <c r="F387" s="857"/>
      <c r="G387" s="858"/>
      <c r="H387" s="842"/>
      <c r="I387" s="843"/>
      <c r="J387" s="64"/>
    </row>
    <row r="388" spans="1:13">
      <c r="A388" s="529"/>
      <c r="B388" s="1233" t="s">
        <v>320</v>
      </c>
      <c r="C388" s="1234"/>
      <c r="D388" s="1234"/>
      <c r="E388" s="854">
        <v>3000</v>
      </c>
      <c r="F388" s="857"/>
      <c r="G388" s="858"/>
      <c r="H388" s="842"/>
      <c r="I388" s="843"/>
      <c r="J388" s="64"/>
    </row>
    <row r="389" spans="1:13" ht="15.75" thickBot="1">
      <c r="A389" s="529"/>
      <c r="B389" s="1237" t="s">
        <v>321</v>
      </c>
      <c r="C389" s="1238"/>
      <c r="D389" s="1238"/>
      <c r="E389" s="854">
        <v>2000</v>
      </c>
      <c r="F389" s="857"/>
      <c r="G389" s="858"/>
      <c r="H389" s="842"/>
      <c r="I389" s="843"/>
      <c r="J389" s="64"/>
    </row>
    <row r="390" spans="1:13">
      <c r="A390" s="529"/>
      <c r="B390" s="1235" t="s">
        <v>707</v>
      </c>
      <c r="C390" s="1236"/>
      <c r="D390" s="1236"/>
      <c r="E390" s="859">
        <f>E391</f>
        <v>96000</v>
      </c>
      <c r="F390" s="857"/>
      <c r="G390" s="858"/>
      <c r="H390" s="842"/>
      <c r="I390" s="843"/>
      <c r="J390" s="64"/>
    </row>
    <row r="391" spans="1:13" ht="15.75" thickBot="1">
      <c r="A391" s="529"/>
      <c r="B391" s="1237" t="s">
        <v>322</v>
      </c>
      <c r="C391" s="1238"/>
      <c r="D391" s="1238"/>
      <c r="E391" s="852">
        <v>96000</v>
      </c>
      <c r="F391" s="857"/>
      <c r="G391" s="858"/>
      <c r="H391" s="842"/>
      <c r="I391" s="843"/>
      <c r="J391" s="64"/>
    </row>
    <row r="392" spans="1:13" ht="15.75" thickBot="1">
      <c r="A392" s="529"/>
      <c r="B392" s="1306" t="s">
        <v>323</v>
      </c>
      <c r="C392" s="1307"/>
      <c r="D392" s="1307"/>
      <c r="E392" s="860">
        <f>E390+E382</f>
        <v>181000</v>
      </c>
      <c r="F392" s="861"/>
      <c r="G392" s="862"/>
      <c r="H392" s="844"/>
      <c r="I392" s="845"/>
      <c r="J392" s="64"/>
    </row>
    <row r="393" spans="1:13">
      <c r="A393" s="64"/>
      <c r="B393" s="64"/>
      <c r="C393" s="64"/>
      <c r="D393" s="64"/>
      <c r="E393" s="64"/>
      <c r="F393" s="64"/>
      <c r="G393" s="64"/>
      <c r="H393" s="64"/>
      <c r="I393" s="64"/>
      <c r="J393" s="64"/>
    </row>
    <row r="394" spans="1:13">
      <c r="A394" s="1209" t="s">
        <v>708</v>
      </c>
      <c r="B394" s="1209"/>
      <c r="C394" s="1209"/>
      <c r="D394" s="292">
        <f>E377*I376</f>
        <v>175200</v>
      </c>
      <c r="E394" s="293" t="s">
        <v>109</v>
      </c>
      <c r="G394" s="1145" t="s">
        <v>636</v>
      </c>
      <c r="H394" s="1146"/>
      <c r="I394" s="1146"/>
      <c r="J394" s="1146"/>
      <c r="K394" s="1147"/>
    </row>
    <row r="395" spans="1:13">
      <c r="A395" s="1209" t="s">
        <v>324</v>
      </c>
      <c r="B395" s="1209"/>
      <c r="C395" s="1209"/>
      <c r="D395" s="292">
        <f>E377*I377</f>
        <v>89280</v>
      </c>
      <c r="E395" s="293" t="s">
        <v>109</v>
      </c>
      <c r="G395" s="193" t="s">
        <v>639</v>
      </c>
      <c r="H395" s="95"/>
      <c r="I395" s="95"/>
      <c r="J395" s="93">
        <v>5</v>
      </c>
      <c r="K395" s="94" t="s">
        <v>111</v>
      </c>
    </row>
    <row r="396" spans="1:13">
      <c r="A396" s="1208" t="s">
        <v>951</v>
      </c>
      <c r="B396" s="1209"/>
      <c r="C396" s="1209"/>
      <c r="D396" s="294">
        <f>E381*E377</f>
        <v>96000</v>
      </c>
      <c r="E396" s="293" t="s">
        <v>645</v>
      </c>
      <c r="G396" s="193" t="s">
        <v>637</v>
      </c>
      <c r="H396" s="95"/>
      <c r="I396" s="95"/>
      <c r="J396" s="93">
        <f>E377</f>
        <v>4800</v>
      </c>
      <c r="K396" s="94" t="s">
        <v>645</v>
      </c>
      <c r="M396" s="295"/>
    </row>
    <row r="397" spans="1:13">
      <c r="A397" s="1208" t="s">
        <v>952</v>
      </c>
      <c r="B397" s="1209"/>
      <c r="C397" s="1209"/>
      <c r="D397" s="3">
        <f>E392+D396</f>
        <v>277000</v>
      </c>
      <c r="E397" s="293" t="s">
        <v>115</v>
      </c>
      <c r="G397" s="193" t="s">
        <v>641</v>
      </c>
      <c r="H397" s="95"/>
      <c r="I397" s="95"/>
      <c r="J397" s="296">
        <f>(J396*I374)*I376</f>
        <v>105120</v>
      </c>
      <c r="K397" s="94" t="s">
        <v>262</v>
      </c>
    </row>
    <row r="398" spans="1:13">
      <c r="A398" s="297" t="s">
        <v>205</v>
      </c>
      <c r="B398" s="297"/>
      <c r="C398" s="297"/>
      <c r="D398" s="292">
        <v>5</v>
      </c>
      <c r="E398" s="293" t="s">
        <v>111</v>
      </c>
      <c r="G398" s="193" t="s">
        <v>640</v>
      </c>
      <c r="H398" s="95"/>
      <c r="I398" s="95"/>
      <c r="J398" s="296">
        <f>(J396*I375)*I377</f>
        <v>17856</v>
      </c>
      <c r="K398" s="94" t="s">
        <v>262</v>
      </c>
    </row>
    <row r="399" spans="1:13">
      <c r="A399" s="293"/>
      <c r="B399" s="293"/>
      <c r="C399" s="293"/>
      <c r="D399" s="3"/>
      <c r="E399" s="293"/>
      <c r="G399" s="805" t="s">
        <v>959</v>
      </c>
      <c r="H399" s="298"/>
      <c r="I399" s="95"/>
      <c r="J399" s="296">
        <f>E381*J396</f>
        <v>96000</v>
      </c>
      <c r="K399" s="94" t="s">
        <v>115</v>
      </c>
    </row>
    <row r="400" spans="1:13">
      <c r="A400" s="1209" t="s">
        <v>709</v>
      </c>
      <c r="B400" s="1209"/>
      <c r="C400" s="1209"/>
      <c r="D400" s="4">
        <f>-PMT(I379,D398,D397,,0)</f>
        <v>76842.495747670546</v>
      </c>
      <c r="E400" s="293" t="s">
        <v>262</v>
      </c>
      <c r="G400" s="299" t="s">
        <v>638</v>
      </c>
      <c r="H400" s="300"/>
      <c r="I400" s="95"/>
      <c r="J400" s="301">
        <f>-PMT(I379,J395,E392+J399,,0)</f>
        <v>76842.495747670546</v>
      </c>
      <c r="K400" s="94" t="s">
        <v>262</v>
      </c>
      <c r="M400" s="302"/>
    </row>
    <row r="401" spans="1:12">
      <c r="A401" s="1209" t="s">
        <v>710</v>
      </c>
      <c r="B401" s="1209"/>
      <c r="C401" s="1209"/>
      <c r="D401" s="3">
        <f>D394*I374</f>
        <v>105120</v>
      </c>
      <c r="E401" s="293" t="s">
        <v>262</v>
      </c>
      <c r="G401" s="303" t="s">
        <v>642</v>
      </c>
      <c r="H401" s="298"/>
      <c r="I401" s="95"/>
      <c r="J401" s="296">
        <f>(I376-I377)*J396</f>
        <v>85920</v>
      </c>
      <c r="K401" s="304" t="s">
        <v>109</v>
      </c>
    </row>
    <row r="402" spans="1:12">
      <c r="A402" s="1209" t="s">
        <v>711</v>
      </c>
      <c r="B402" s="1209"/>
      <c r="C402" s="1209"/>
      <c r="D402" s="3">
        <f>D395*I375</f>
        <v>17856</v>
      </c>
      <c r="E402" s="293" t="s">
        <v>262</v>
      </c>
      <c r="G402" s="193" t="s">
        <v>644</v>
      </c>
      <c r="H402" s="298"/>
      <c r="I402" s="95"/>
      <c r="J402" s="296">
        <f>J397-J398</f>
        <v>87264</v>
      </c>
      <c r="K402" s="94" t="s">
        <v>648</v>
      </c>
    </row>
    <row r="403" spans="1:12">
      <c r="A403" s="1208" t="s">
        <v>958</v>
      </c>
      <c r="B403" s="1209"/>
      <c r="C403" s="1209"/>
      <c r="D403" s="3">
        <f>D401-D402</f>
        <v>87264</v>
      </c>
      <c r="E403" s="293" t="s">
        <v>262</v>
      </c>
      <c r="G403" s="863" t="s">
        <v>953</v>
      </c>
      <c r="H403" s="305"/>
      <c r="I403" s="95"/>
      <c r="J403" s="306">
        <f>J402-J400</f>
        <v>10421.504252329454</v>
      </c>
      <c r="K403" s="94" t="s">
        <v>648</v>
      </c>
    </row>
    <row r="404" spans="1:12">
      <c r="A404" s="297" t="s">
        <v>328</v>
      </c>
      <c r="B404" s="297"/>
      <c r="C404" s="297"/>
      <c r="D404" s="294">
        <f>(D403-D400)/(D394-D395)</f>
        <v>0.12129311280644151</v>
      </c>
      <c r="E404" s="293" t="s">
        <v>116</v>
      </c>
      <c r="G404" s="299" t="s">
        <v>328</v>
      </c>
      <c r="H404" s="95"/>
      <c r="I404" s="95"/>
      <c r="J404" s="307">
        <f>J403/J401</f>
        <v>0.12129311280644151</v>
      </c>
      <c r="K404" s="94" t="s">
        <v>116</v>
      </c>
    </row>
    <row r="405" spans="1:12">
      <c r="A405" s="293" t="s">
        <v>380</v>
      </c>
      <c r="B405" s="293"/>
      <c r="C405" s="293"/>
      <c r="D405" s="294">
        <f>D400/(D394-D395)</f>
        <v>0.89434934529411714</v>
      </c>
      <c r="E405" s="293" t="s">
        <v>116</v>
      </c>
      <c r="G405" s="308" t="s">
        <v>380</v>
      </c>
      <c r="H405" s="309"/>
      <c r="I405" s="87"/>
      <c r="J405" s="310">
        <f>(J400)/J401</f>
        <v>0.89434934529411714</v>
      </c>
      <c r="K405" s="98" t="s">
        <v>116</v>
      </c>
    </row>
    <row r="406" spans="1:12" ht="14.1" customHeight="1">
      <c r="A406" s="70"/>
      <c r="B406" s="70"/>
      <c r="C406" s="70"/>
      <c r="D406" s="311"/>
      <c r="E406" s="70"/>
      <c r="G406" s="1224" t="s">
        <v>954</v>
      </c>
      <c r="H406" s="1225"/>
      <c r="I406" s="1225"/>
      <c r="J406" s="1225"/>
      <c r="K406" s="1225"/>
    </row>
    <row r="407" spans="1:12">
      <c r="A407" s="70"/>
      <c r="B407" s="70"/>
      <c r="C407" s="70"/>
      <c r="D407" s="311"/>
      <c r="E407" s="70"/>
      <c r="G407" s="1226"/>
      <c r="H407" s="1226"/>
      <c r="I407" s="1226"/>
      <c r="J407" s="1226"/>
      <c r="K407" s="1226"/>
      <c r="L407" s="312"/>
    </row>
    <row r="408" spans="1:12">
      <c r="A408" s="70"/>
      <c r="B408" s="70"/>
      <c r="C408" s="70"/>
      <c r="D408" s="311"/>
      <c r="E408" s="70"/>
      <c r="G408" s="1304" t="s">
        <v>961</v>
      </c>
      <c r="H408" s="1305"/>
      <c r="I408" s="1305"/>
      <c r="J408" s="1305"/>
      <c r="K408" s="1305"/>
      <c r="L408" s="312"/>
    </row>
    <row r="409" spans="1:12" ht="30" customHeight="1">
      <c r="A409" s="70"/>
      <c r="B409" s="70"/>
      <c r="C409" s="70"/>
      <c r="D409" s="313"/>
      <c r="E409" s="70"/>
      <c r="F409" s="314"/>
      <c r="G409" s="1305"/>
      <c r="H409" s="1305"/>
      <c r="I409" s="1305"/>
      <c r="J409" s="1305"/>
      <c r="K409" s="1305"/>
    </row>
    <row r="410" spans="1:12" ht="15" customHeight="1">
      <c r="A410" s="1210" t="s">
        <v>962</v>
      </c>
      <c r="B410" s="1211"/>
      <c r="C410" s="1211"/>
      <c r="D410" s="1211"/>
      <c r="E410" s="1211"/>
      <c r="F410" s="1211"/>
      <c r="G410" s="1211"/>
      <c r="H410" s="1211"/>
      <c r="I410" s="1211"/>
      <c r="J410" s="1212"/>
      <c r="L410" s="302"/>
    </row>
    <row r="411" spans="1:12" ht="15" customHeight="1">
      <c r="A411" s="1265"/>
      <c r="B411" s="1119"/>
      <c r="C411" s="1119"/>
      <c r="D411" s="1119"/>
      <c r="E411" s="1119"/>
      <c r="F411" s="1119"/>
      <c r="G411" s="1119"/>
      <c r="H411" s="1119"/>
      <c r="I411" s="1119"/>
      <c r="J411" s="1266"/>
    </row>
    <row r="412" spans="1:12" ht="15" customHeight="1">
      <c r="A412" s="1265"/>
      <c r="B412" s="1119"/>
      <c r="C412" s="1119"/>
      <c r="D412" s="1119"/>
      <c r="E412" s="1119"/>
      <c r="F412" s="1119"/>
      <c r="G412" s="1119"/>
      <c r="H412" s="1119"/>
      <c r="I412" s="1119"/>
      <c r="J412" s="1266"/>
    </row>
    <row r="413" spans="1:12" ht="15" customHeight="1">
      <c r="A413" s="1265"/>
      <c r="B413" s="1119"/>
      <c r="C413" s="1119"/>
      <c r="D413" s="1119"/>
      <c r="E413" s="1119"/>
      <c r="F413" s="1119"/>
      <c r="G413" s="1119"/>
      <c r="H413" s="1119"/>
      <c r="I413" s="1119"/>
      <c r="J413" s="1266"/>
    </row>
    <row r="414" spans="1:12">
      <c r="A414" s="1265"/>
      <c r="B414" s="1119"/>
      <c r="C414" s="1119"/>
      <c r="D414" s="1119"/>
      <c r="E414" s="1119"/>
      <c r="F414" s="1119"/>
      <c r="G414" s="1119"/>
      <c r="H414" s="1119"/>
      <c r="I414" s="1119"/>
      <c r="J414" s="1266"/>
    </row>
    <row r="415" spans="1:12">
      <c r="A415" s="1213"/>
      <c r="B415" s="1120"/>
      <c r="C415" s="1120"/>
      <c r="D415" s="1120"/>
      <c r="E415" s="1120"/>
      <c r="F415" s="1120"/>
      <c r="G415" s="1120"/>
      <c r="H415" s="1120"/>
      <c r="I415" s="1120"/>
      <c r="J415" s="1214"/>
    </row>
    <row r="416" spans="1:12">
      <c r="A416" s="315"/>
      <c r="B416" s="315"/>
      <c r="C416" s="315"/>
      <c r="D416" s="315"/>
      <c r="E416" s="315"/>
      <c r="F416" s="315"/>
      <c r="G416" s="315"/>
      <c r="H416" s="315"/>
      <c r="I416" s="315"/>
      <c r="J416" s="315"/>
    </row>
    <row r="417" spans="1:12">
      <c r="A417" s="1209" t="s">
        <v>325</v>
      </c>
      <c r="B417" s="1209"/>
      <c r="C417" s="1209"/>
      <c r="D417" s="293"/>
      <c r="E417" s="293"/>
      <c r="G417" s="1145" t="s">
        <v>967</v>
      </c>
      <c r="H417" s="1146"/>
      <c r="I417" s="1146"/>
      <c r="J417" s="1146"/>
      <c r="K417" s="1147"/>
    </row>
    <row r="418" spans="1:12">
      <c r="A418" s="1208" t="s">
        <v>963</v>
      </c>
      <c r="B418" s="1209"/>
      <c r="C418" s="1209"/>
      <c r="D418" s="316">
        <f>I376*2</f>
        <v>73</v>
      </c>
      <c r="E418" s="293" t="s">
        <v>326</v>
      </c>
      <c r="G418" s="193" t="s">
        <v>639</v>
      </c>
      <c r="H418" s="95"/>
      <c r="I418" s="95"/>
      <c r="J418" s="93">
        <v>5</v>
      </c>
      <c r="K418" s="94" t="s">
        <v>111</v>
      </c>
    </row>
    <row r="419" spans="1:12">
      <c r="A419" s="1208" t="s">
        <v>964</v>
      </c>
      <c r="B419" s="1209"/>
      <c r="C419" s="1209"/>
      <c r="D419" s="316">
        <f>I377*2</f>
        <v>37.200000000000003</v>
      </c>
      <c r="E419" s="293" t="s">
        <v>326</v>
      </c>
      <c r="G419" s="193" t="s">
        <v>637</v>
      </c>
      <c r="H419" s="95"/>
      <c r="I419" s="95"/>
      <c r="J419" s="93">
        <v>2</v>
      </c>
      <c r="K419" s="94" t="s">
        <v>645</v>
      </c>
    </row>
    <row r="420" spans="1:12">
      <c r="A420" s="1208" t="s">
        <v>965</v>
      </c>
      <c r="B420" s="1209"/>
      <c r="C420" s="1209"/>
      <c r="D420" s="316">
        <f>D418-D419</f>
        <v>35.799999999999997</v>
      </c>
      <c r="E420" s="293" t="s">
        <v>326</v>
      </c>
      <c r="G420" s="193" t="s">
        <v>641</v>
      </c>
      <c r="H420" s="95"/>
      <c r="I420" s="95"/>
      <c r="J420" s="301">
        <f>I376*I378*J419</f>
        <v>87.6</v>
      </c>
      <c r="K420" s="94" t="s">
        <v>262</v>
      </c>
    </row>
    <row r="421" spans="1:12">
      <c r="A421" s="1209" t="s">
        <v>643</v>
      </c>
      <c r="B421" s="1209"/>
      <c r="C421" s="1209"/>
      <c r="D421" s="317">
        <f>D420*I378</f>
        <v>42.959999999999994</v>
      </c>
      <c r="E421" s="293" t="s">
        <v>262</v>
      </c>
      <c r="G421" s="193" t="s">
        <v>640</v>
      </c>
      <c r="H421" s="95"/>
      <c r="I421" s="95"/>
      <c r="J421" s="296">
        <f>I377*I378*J419</f>
        <v>44.64</v>
      </c>
      <c r="K421" s="94" t="s">
        <v>262</v>
      </c>
    </row>
    <row r="422" spans="1:12">
      <c r="A422" s="293"/>
      <c r="B422" s="293"/>
      <c r="C422" s="293"/>
      <c r="D422" s="293"/>
      <c r="E422" s="293"/>
      <c r="G422" s="805" t="s">
        <v>959</v>
      </c>
      <c r="H422" s="298"/>
      <c r="I422" s="95"/>
      <c r="J422" s="296">
        <v>60</v>
      </c>
      <c r="K422" s="94" t="s">
        <v>115</v>
      </c>
    </row>
    <row r="423" spans="1:12">
      <c r="A423" s="1208" t="s">
        <v>955</v>
      </c>
      <c r="B423" s="1209"/>
      <c r="C423" s="1209"/>
      <c r="D423" s="318">
        <f>2*E380</f>
        <v>60</v>
      </c>
      <c r="E423" s="293" t="s">
        <v>115</v>
      </c>
      <c r="G423" s="299" t="s">
        <v>638</v>
      </c>
      <c r="H423" s="300"/>
      <c r="I423" s="95"/>
      <c r="J423" s="301">
        <f>-PMT(I380,J395,0+J422,,0)</f>
        <v>22.310804378867203</v>
      </c>
      <c r="K423" s="94" t="s">
        <v>262</v>
      </c>
    </row>
    <row r="424" spans="1:12">
      <c r="A424" s="1208" t="s">
        <v>956</v>
      </c>
      <c r="B424" s="1209"/>
      <c r="C424" s="1209"/>
      <c r="D424" s="293">
        <v>5</v>
      </c>
      <c r="E424" s="293" t="s">
        <v>111</v>
      </c>
      <c r="G424" s="864" t="s">
        <v>968</v>
      </c>
      <c r="H424" s="298"/>
      <c r="I424" s="95"/>
      <c r="J424" s="296">
        <f>(I376-I377)*J419</f>
        <v>35.799999999999997</v>
      </c>
      <c r="K424" s="304" t="s">
        <v>109</v>
      </c>
    </row>
    <row r="425" spans="1:12">
      <c r="A425" s="1208" t="s">
        <v>966</v>
      </c>
      <c r="B425" s="1209"/>
      <c r="C425" s="1209"/>
      <c r="D425" s="319">
        <f>-PMT(I380,D424,D423,0,0)</f>
        <v>22.310804378867203</v>
      </c>
      <c r="E425" s="293" t="s">
        <v>275</v>
      </c>
      <c r="G425" s="193" t="s">
        <v>646</v>
      </c>
      <c r="H425" s="298"/>
      <c r="I425" s="95"/>
      <c r="J425" s="296">
        <f>J420-J421</f>
        <v>42.959999999999994</v>
      </c>
      <c r="K425" s="94" t="s">
        <v>648</v>
      </c>
    </row>
    <row r="426" spans="1:12">
      <c r="A426" s="297" t="s">
        <v>330</v>
      </c>
      <c r="B426" s="297"/>
      <c r="C426" s="297"/>
      <c r="D426" s="319">
        <f>D425/(D418-D419)</f>
        <v>0.62320682622534096</v>
      </c>
      <c r="E426" s="293" t="s">
        <v>329</v>
      </c>
      <c r="G426" s="863" t="s">
        <v>953</v>
      </c>
      <c r="H426" s="305"/>
      <c r="I426" s="95"/>
      <c r="J426" s="320">
        <f>J425-J423</f>
        <v>20.64919562113279</v>
      </c>
      <c r="K426" s="94" t="s">
        <v>648</v>
      </c>
    </row>
    <row r="427" spans="1:12">
      <c r="A427" s="85"/>
      <c r="B427" s="85"/>
      <c r="C427" s="85"/>
      <c r="D427" s="321"/>
      <c r="G427" s="299" t="s">
        <v>647</v>
      </c>
      <c r="H427" s="95"/>
      <c r="I427" s="95"/>
      <c r="J427" s="307">
        <f>J426/(J424)</f>
        <v>0.576793173774659</v>
      </c>
      <c r="K427" s="94" t="s">
        <v>116</v>
      </c>
    </row>
    <row r="428" spans="1:12">
      <c r="A428" s="85"/>
      <c r="B428" s="85"/>
      <c r="C428" s="85"/>
      <c r="D428" s="321"/>
      <c r="G428" s="308" t="s">
        <v>380</v>
      </c>
      <c r="H428" s="309"/>
      <c r="I428" s="87"/>
      <c r="J428" s="310">
        <f>(J423)/J424</f>
        <v>0.62320682622534096</v>
      </c>
      <c r="K428" s="98" t="s">
        <v>116</v>
      </c>
      <c r="L428" s="295"/>
    </row>
    <row r="429" spans="1:12" ht="14.1" customHeight="1">
      <c r="A429" s="85"/>
      <c r="B429" s="85"/>
      <c r="C429" s="85"/>
      <c r="D429" s="321"/>
      <c r="G429" s="1224" t="s">
        <v>954</v>
      </c>
      <c r="H429" s="1225"/>
      <c r="I429" s="1225"/>
      <c r="J429" s="1225"/>
      <c r="K429" s="1225"/>
    </row>
    <row r="430" spans="1:12">
      <c r="A430" s="85"/>
      <c r="B430" s="85"/>
      <c r="C430" s="85"/>
      <c r="D430" s="321"/>
      <c r="G430" s="1226"/>
      <c r="H430" s="1226"/>
      <c r="I430" s="1226"/>
      <c r="J430" s="1226"/>
      <c r="K430" s="1226"/>
    </row>
    <row r="431" spans="1:12">
      <c r="A431" s="85"/>
      <c r="B431" s="85"/>
      <c r="C431" s="85"/>
      <c r="D431" s="321"/>
      <c r="G431" s="1226"/>
      <c r="H431" s="1226"/>
      <c r="I431" s="1226"/>
      <c r="J431" s="1226"/>
      <c r="K431" s="1226"/>
    </row>
    <row r="432" spans="1:12" ht="27.95" customHeight="1">
      <c r="A432" s="85"/>
      <c r="B432" s="85"/>
      <c r="C432" s="85"/>
      <c r="D432" s="321"/>
      <c r="G432" s="1114" t="s">
        <v>960</v>
      </c>
      <c r="H432" s="1115"/>
      <c r="I432" s="1115"/>
      <c r="J432" s="1115"/>
      <c r="K432" s="1115"/>
    </row>
    <row r="433" spans="1:37">
      <c r="A433" s="85"/>
      <c r="B433" s="85"/>
      <c r="C433" s="85"/>
      <c r="D433" s="321"/>
      <c r="G433" s="1115"/>
      <c r="H433" s="1115"/>
      <c r="I433" s="1115"/>
      <c r="J433" s="1115"/>
      <c r="K433" s="1115"/>
    </row>
    <row r="435" spans="1:37">
      <c r="A435" s="1210" t="s">
        <v>969</v>
      </c>
      <c r="B435" s="1211"/>
      <c r="C435" s="1211"/>
      <c r="D435" s="1211"/>
      <c r="E435" s="1211"/>
      <c r="F435" s="1211"/>
      <c r="G435" s="1211"/>
      <c r="H435" s="1211"/>
      <c r="I435" s="1211"/>
      <c r="J435" s="1212"/>
    </row>
    <row r="436" spans="1:37">
      <c r="A436" s="1213"/>
      <c r="B436" s="1120"/>
      <c r="C436" s="1120"/>
      <c r="D436" s="1120"/>
      <c r="E436" s="1120"/>
      <c r="F436" s="1120"/>
      <c r="G436" s="1120"/>
      <c r="H436" s="1120"/>
      <c r="I436" s="1120"/>
      <c r="J436" s="1214"/>
    </row>
    <row r="437" spans="1:37">
      <c r="A437" s="95"/>
      <c r="B437" s="95"/>
      <c r="C437" s="95"/>
      <c r="D437" s="95"/>
      <c r="E437" s="95"/>
      <c r="F437" s="95"/>
      <c r="G437" s="95"/>
      <c r="H437" s="95"/>
      <c r="I437" s="95"/>
      <c r="J437" s="95"/>
      <c r="L437" s="302"/>
    </row>
    <row r="438" spans="1:37">
      <c r="A438" s="1121" t="s">
        <v>327</v>
      </c>
      <c r="B438" s="1122"/>
      <c r="C438" s="1122"/>
      <c r="D438" s="1122"/>
      <c r="E438" s="1122"/>
      <c r="F438" s="1122"/>
      <c r="G438" s="1122"/>
      <c r="H438" s="1122"/>
      <c r="I438" s="1122"/>
      <c r="J438" s="1122"/>
      <c r="L438" s="224"/>
    </row>
    <row r="439" spans="1:37">
      <c r="A439" s="1159"/>
      <c r="B439" s="1159"/>
      <c r="C439" s="1159"/>
      <c r="D439" s="1159"/>
      <c r="E439" s="1159"/>
      <c r="F439" s="1159"/>
      <c r="G439" s="1159"/>
      <c r="H439" s="1159"/>
      <c r="I439" s="1159"/>
      <c r="J439" s="1159"/>
      <c r="L439" s="224"/>
      <c r="M439" s="291"/>
    </row>
    <row r="440" spans="1:37" s="70" customFormat="1" ht="15.75" thickBot="1">
      <c r="A440" s="221"/>
      <c r="B440" s="221"/>
      <c r="C440" s="221"/>
      <c r="D440" s="221"/>
      <c r="E440" s="221"/>
      <c r="F440" s="221"/>
      <c r="G440" s="221"/>
      <c r="H440" s="221"/>
      <c r="I440" s="221"/>
      <c r="J440" s="221"/>
      <c r="K440" s="261"/>
      <c r="L440" s="322"/>
      <c r="M440" s="323"/>
      <c r="N440" s="261"/>
      <c r="O440" s="261"/>
      <c r="P440" s="261"/>
      <c r="Q440" s="261"/>
      <c r="R440" s="261"/>
      <c r="S440" s="261"/>
      <c r="T440" s="261"/>
      <c r="U440" s="261"/>
      <c r="V440" s="261"/>
      <c r="W440" s="261"/>
      <c r="X440" s="261"/>
      <c r="Y440" s="261"/>
      <c r="Z440" s="261"/>
      <c r="AA440" s="261"/>
      <c r="AB440" s="261"/>
      <c r="AC440" s="261"/>
      <c r="AD440" s="261"/>
      <c r="AE440" s="261"/>
      <c r="AF440" s="261"/>
      <c r="AG440" s="261"/>
      <c r="AH440" s="261"/>
      <c r="AI440" s="261"/>
      <c r="AJ440" s="261"/>
      <c r="AK440" s="261"/>
    </row>
    <row r="441" spans="1:37" s="70" customFormat="1" ht="15.75" thickBot="1">
      <c r="A441" s="1239" t="s">
        <v>652</v>
      </c>
      <c r="B441" s="1240"/>
      <c r="C441" s="1240"/>
      <c r="D441" s="324" t="s">
        <v>113</v>
      </c>
      <c r="E441" s="325">
        <f>I379</f>
        <v>0.12</v>
      </c>
      <c r="F441" s="326"/>
      <c r="G441" s="327"/>
      <c r="H441" s="328"/>
      <c r="I441" s="293"/>
      <c r="J441" s="293"/>
      <c r="K441" s="293"/>
      <c r="M441" s="261"/>
      <c r="N441" s="261"/>
      <c r="O441" s="261"/>
      <c r="P441" s="261"/>
      <c r="Q441" s="261"/>
      <c r="R441" s="261"/>
      <c r="S441" s="261"/>
      <c r="T441" s="261"/>
      <c r="U441" s="261"/>
      <c r="V441" s="261"/>
      <c r="W441" s="261"/>
      <c r="X441" s="261"/>
      <c r="Y441" s="261"/>
      <c r="Z441" s="261"/>
      <c r="AA441" s="261"/>
      <c r="AB441" s="261"/>
      <c r="AC441" s="261"/>
      <c r="AD441" s="261"/>
      <c r="AE441" s="261"/>
      <c r="AF441" s="261"/>
      <c r="AG441" s="261"/>
      <c r="AH441" s="261"/>
      <c r="AI441" s="261"/>
      <c r="AJ441" s="261"/>
      <c r="AK441" s="261"/>
    </row>
    <row r="442" spans="1:37" s="70" customFormat="1" ht="15" customHeight="1">
      <c r="A442" s="329"/>
      <c r="B442" s="1244" t="s">
        <v>656</v>
      </c>
      <c r="C442" s="1244"/>
      <c r="D442" s="1245"/>
      <c r="E442" s="1241" t="s">
        <v>655</v>
      </c>
      <c r="F442" s="1242"/>
      <c r="G442" s="1243"/>
      <c r="H442" s="293"/>
      <c r="I442" s="293"/>
      <c r="J442" s="293"/>
      <c r="K442" s="293"/>
      <c r="M442" s="261"/>
      <c r="P442" s="261"/>
      <c r="Q442" s="261"/>
      <c r="R442" s="261"/>
      <c r="S442" s="261"/>
      <c r="T442" s="261"/>
      <c r="U442" s="261"/>
      <c r="V442" s="261"/>
      <c r="W442" s="261"/>
      <c r="X442" s="261"/>
      <c r="Y442" s="261"/>
      <c r="Z442" s="261"/>
      <c r="AA442" s="261"/>
      <c r="AB442" s="261"/>
      <c r="AC442" s="261"/>
      <c r="AD442" s="261"/>
      <c r="AE442" s="261"/>
      <c r="AF442" s="261"/>
      <c r="AG442" s="261"/>
      <c r="AH442" s="261"/>
      <c r="AI442" s="261"/>
      <c r="AJ442" s="261"/>
    </row>
    <row r="443" spans="1:37" s="70" customFormat="1" ht="14.1" customHeight="1">
      <c r="A443" s="330" t="s">
        <v>298</v>
      </c>
      <c r="B443" s="331" t="s">
        <v>16</v>
      </c>
      <c r="C443" s="331" t="s">
        <v>649</v>
      </c>
      <c r="D443" s="865" t="s">
        <v>970</v>
      </c>
      <c r="E443" s="330" t="s">
        <v>653</v>
      </c>
      <c r="F443" s="332" t="s">
        <v>654</v>
      </c>
      <c r="G443" s="333" t="s">
        <v>657</v>
      </c>
      <c r="H443" s="293"/>
      <c r="I443" s="293"/>
      <c r="J443" s="293"/>
      <c r="K443" s="293"/>
      <c r="M443" s="261"/>
      <c r="P443" s="261"/>
      <c r="Q443" s="261"/>
      <c r="R443" s="261"/>
      <c r="S443" s="261"/>
      <c r="T443" s="261"/>
      <c r="U443" s="261"/>
      <c r="V443" s="261"/>
      <c r="W443" s="261"/>
      <c r="X443" s="261"/>
      <c r="Y443" s="261"/>
      <c r="Z443" s="261"/>
      <c r="AA443" s="261"/>
      <c r="AB443" s="261"/>
      <c r="AC443" s="261"/>
      <c r="AD443" s="261"/>
      <c r="AE443" s="261"/>
      <c r="AF443" s="261"/>
      <c r="AG443" s="261"/>
      <c r="AH443" s="261"/>
      <c r="AI443" s="261"/>
      <c r="AJ443" s="261"/>
    </row>
    <row r="444" spans="1:37" s="70" customFormat="1" ht="15.75" thickBot="1">
      <c r="A444" s="330">
        <v>0</v>
      </c>
      <c r="B444" s="334">
        <f>-D397</f>
        <v>-277000</v>
      </c>
      <c r="C444" s="334">
        <v>0</v>
      </c>
      <c r="D444" s="335">
        <f>C444+B444</f>
        <v>-277000</v>
      </c>
      <c r="E444" s="336">
        <v>0</v>
      </c>
      <c r="F444" s="334">
        <f>B444</f>
        <v>-277000</v>
      </c>
      <c r="G444" s="337">
        <f t="shared" ref="G444:G449" si="26">F444-E444</f>
        <v>-277000</v>
      </c>
      <c r="H444" s="293"/>
      <c r="I444" s="293"/>
      <c r="J444" s="293"/>
      <c r="K444" s="293"/>
      <c r="M444" s="261"/>
      <c r="P444" s="261"/>
      <c r="Q444" s="261"/>
      <c r="R444" s="261"/>
      <c r="S444" s="261"/>
      <c r="T444" s="261"/>
      <c r="U444" s="261"/>
      <c r="V444" s="261"/>
      <c r="W444" s="261"/>
      <c r="X444" s="261"/>
      <c r="Y444" s="261"/>
      <c r="Z444" s="261"/>
      <c r="AA444" s="261"/>
      <c r="AB444" s="261"/>
      <c r="AC444" s="261"/>
      <c r="AD444" s="261"/>
      <c r="AE444" s="261"/>
      <c r="AF444" s="261"/>
      <c r="AG444" s="261"/>
      <c r="AH444" s="261"/>
      <c r="AI444" s="261"/>
      <c r="AJ444" s="261"/>
    </row>
    <row r="445" spans="1:37" s="70" customFormat="1">
      <c r="A445" s="330">
        <v>1</v>
      </c>
      <c r="B445" s="334">
        <f>-J400</f>
        <v>-76842.495747670546</v>
      </c>
      <c r="C445" s="334">
        <f>J402</f>
        <v>87264</v>
      </c>
      <c r="D445" s="335">
        <f t="shared" ref="D445:D449" si="27">C445+B445</f>
        <v>10421.504252329454</v>
      </c>
      <c r="E445" s="336">
        <f>-J397</f>
        <v>-105120</v>
      </c>
      <c r="F445" s="334">
        <f>C445</f>
        <v>87264</v>
      </c>
      <c r="G445" s="337">
        <f t="shared" si="26"/>
        <v>192384</v>
      </c>
      <c r="H445" s="293"/>
      <c r="I445" s="1246" t="s">
        <v>971</v>
      </c>
      <c r="J445" s="1247"/>
      <c r="K445" s="1248"/>
      <c r="M445" s="261"/>
      <c r="P445" s="261"/>
      <c r="Q445" s="261"/>
      <c r="R445" s="261"/>
      <c r="S445" s="261"/>
      <c r="T445" s="261"/>
      <c r="U445" s="261"/>
      <c r="V445" s="261"/>
      <c r="W445" s="261"/>
      <c r="X445" s="261"/>
      <c r="Y445" s="261"/>
      <c r="Z445" s="261"/>
      <c r="AA445" s="261"/>
      <c r="AB445" s="261"/>
      <c r="AC445" s="261"/>
      <c r="AD445" s="261"/>
      <c r="AE445" s="261"/>
      <c r="AF445" s="261"/>
      <c r="AG445" s="261"/>
      <c r="AH445" s="261"/>
      <c r="AI445" s="261"/>
      <c r="AJ445" s="261"/>
    </row>
    <row r="446" spans="1:37" s="70" customFormat="1">
      <c r="A446" s="330">
        <v>2</v>
      </c>
      <c r="B446" s="334">
        <f>B445</f>
        <v>-76842.495747670546</v>
      </c>
      <c r="C446" s="334">
        <f>C445</f>
        <v>87264</v>
      </c>
      <c r="D446" s="335">
        <f t="shared" si="27"/>
        <v>10421.504252329454</v>
      </c>
      <c r="E446" s="336">
        <f>E445</f>
        <v>-105120</v>
      </c>
      <c r="F446" s="334">
        <f>C446</f>
        <v>87264</v>
      </c>
      <c r="G446" s="337">
        <f t="shared" si="26"/>
        <v>192384</v>
      </c>
      <c r="H446" s="293"/>
      <c r="I446" s="338" t="s">
        <v>113</v>
      </c>
      <c r="J446" s="332" t="s">
        <v>202</v>
      </c>
      <c r="K446" s="339" t="s">
        <v>207</v>
      </c>
      <c r="M446" s="261"/>
      <c r="P446" s="261"/>
      <c r="Q446" s="261"/>
      <c r="R446" s="261"/>
      <c r="S446" s="261"/>
      <c r="T446" s="261"/>
      <c r="U446" s="261"/>
      <c r="V446" s="261"/>
      <c r="W446" s="261"/>
      <c r="X446" s="261"/>
      <c r="Y446" s="261"/>
      <c r="Z446" s="261"/>
      <c r="AA446" s="261"/>
      <c r="AB446" s="261"/>
      <c r="AC446" s="261"/>
      <c r="AD446" s="261"/>
      <c r="AE446" s="261"/>
      <c r="AF446" s="261"/>
      <c r="AG446" s="261"/>
      <c r="AH446" s="261"/>
      <c r="AI446" s="261"/>
      <c r="AJ446" s="261"/>
    </row>
    <row r="447" spans="1:37" s="70" customFormat="1">
      <c r="A447" s="330">
        <v>3</v>
      </c>
      <c r="B447" s="334">
        <f t="shared" ref="B447:B449" si="28">B446</f>
        <v>-76842.495747670546</v>
      </c>
      <c r="C447" s="334">
        <f t="shared" ref="C447:C449" si="29">C446</f>
        <v>87264</v>
      </c>
      <c r="D447" s="335">
        <f t="shared" si="27"/>
        <v>10421.504252329454</v>
      </c>
      <c r="E447" s="336">
        <f t="shared" ref="E447:E449" si="30">E446</f>
        <v>-105120</v>
      </c>
      <c r="F447" s="334">
        <f>C447</f>
        <v>87264</v>
      </c>
      <c r="G447" s="337">
        <f t="shared" si="26"/>
        <v>192384</v>
      </c>
      <c r="H447" s="293"/>
      <c r="I447" s="340">
        <v>0</v>
      </c>
      <c r="J447" s="341">
        <f>$J$425+PMT(I447,$J$395,0+$J$422,,0)</f>
        <v>30.959999999999994</v>
      </c>
      <c r="K447" s="342">
        <f>$J$402+PMT(I447,$J$395,$E$392+$J$399,,0)</f>
        <v>31864</v>
      </c>
      <c r="M447" s="261"/>
      <c r="P447" s="261"/>
      <c r="Q447" s="261"/>
      <c r="R447" s="261"/>
      <c r="S447" s="261"/>
      <c r="T447" s="261"/>
      <c r="U447" s="261"/>
      <c r="V447" s="261"/>
      <c r="W447" s="261"/>
      <c r="X447" s="261"/>
      <c r="Y447" s="261"/>
      <c r="Z447" s="261"/>
      <c r="AA447" s="261"/>
      <c r="AB447" s="261"/>
      <c r="AC447" s="261"/>
      <c r="AD447" s="261"/>
      <c r="AE447" s="261"/>
      <c r="AF447" s="261"/>
      <c r="AG447" s="261"/>
      <c r="AH447" s="261"/>
      <c r="AI447" s="261"/>
      <c r="AJ447" s="261"/>
    </row>
    <row r="448" spans="1:37" s="70" customFormat="1">
      <c r="A448" s="330">
        <v>4</v>
      </c>
      <c r="B448" s="334">
        <f t="shared" si="28"/>
        <v>-76842.495747670546</v>
      </c>
      <c r="C448" s="334">
        <f t="shared" si="29"/>
        <v>87264</v>
      </c>
      <c r="D448" s="335">
        <f t="shared" si="27"/>
        <v>10421.504252329454</v>
      </c>
      <c r="E448" s="336">
        <f t="shared" si="30"/>
        <v>-105120</v>
      </c>
      <c r="F448" s="334">
        <f>C448</f>
        <v>87264</v>
      </c>
      <c r="G448" s="337">
        <f t="shared" si="26"/>
        <v>192384</v>
      </c>
      <c r="H448" s="293"/>
      <c r="I448" s="343">
        <f>I447+0.05</f>
        <v>0.05</v>
      </c>
      <c r="J448" s="341">
        <f t="shared" ref="J448:J461" si="31">$J$425+PMT(I448,$J$395,0+$J$422,,0)</f>
        <v>29.101512112303908</v>
      </c>
      <c r="K448" s="342">
        <f t="shared" ref="K448:K461" si="32">$J$402+PMT(I448,$J$395,$E$392+$J$399,,0)</f>
        <v>23283.98091846973</v>
      </c>
      <c r="M448" s="261"/>
      <c r="P448" s="261"/>
      <c r="Q448" s="261"/>
      <c r="R448" s="261"/>
      <c r="S448" s="261"/>
      <c r="T448" s="261"/>
      <c r="U448" s="261"/>
      <c r="V448" s="261"/>
      <c r="W448" s="261"/>
      <c r="X448" s="261"/>
      <c r="Y448" s="261"/>
      <c r="Z448" s="261"/>
      <c r="AA448" s="261"/>
      <c r="AB448" s="261"/>
      <c r="AC448" s="261"/>
      <c r="AD448" s="261"/>
      <c r="AE448" s="261"/>
      <c r="AF448" s="261"/>
      <c r="AG448" s="261"/>
      <c r="AH448" s="261"/>
      <c r="AI448" s="261"/>
      <c r="AJ448" s="261"/>
    </row>
    <row r="449" spans="1:37" s="70" customFormat="1">
      <c r="A449" s="330">
        <v>5</v>
      </c>
      <c r="B449" s="334">
        <f t="shared" si="28"/>
        <v>-76842.495747670546</v>
      </c>
      <c r="C449" s="334">
        <f t="shared" si="29"/>
        <v>87264</v>
      </c>
      <c r="D449" s="335">
        <f t="shared" si="27"/>
        <v>10421.504252329454</v>
      </c>
      <c r="E449" s="336">
        <f t="shared" si="30"/>
        <v>-105120</v>
      </c>
      <c r="F449" s="334">
        <f>C449</f>
        <v>87264</v>
      </c>
      <c r="G449" s="337">
        <f t="shared" si="26"/>
        <v>192384</v>
      </c>
      <c r="H449" s="293"/>
      <c r="I449" s="343">
        <f t="shared" ref="I449:I455" si="33">I448+0.05</f>
        <v>0.1</v>
      </c>
      <c r="J449" s="341">
        <f t="shared" si="31"/>
        <v>27.13215115231527</v>
      </c>
      <c r="K449" s="342">
        <f t="shared" si="32"/>
        <v>14192.097819855524</v>
      </c>
      <c r="M449" s="261"/>
      <c r="P449" s="261"/>
      <c r="Q449" s="261"/>
      <c r="R449" s="261"/>
      <c r="S449" s="261"/>
      <c r="T449" s="261"/>
      <c r="U449" s="261"/>
      <c r="V449" s="261"/>
      <c r="W449" s="261"/>
      <c r="X449" s="261"/>
      <c r="Y449" s="261"/>
      <c r="Z449" s="261"/>
      <c r="AA449" s="261"/>
      <c r="AB449" s="261"/>
      <c r="AC449" s="261"/>
      <c r="AD449" s="261"/>
      <c r="AE449" s="261"/>
      <c r="AF449" s="261"/>
      <c r="AG449" s="261"/>
      <c r="AH449" s="261"/>
      <c r="AI449" s="261"/>
      <c r="AJ449" s="261"/>
    </row>
    <row r="450" spans="1:37" s="70" customFormat="1">
      <c r="A450" s="330" t="s">
        <v>632</v>
      </c>
      <c r="B450" s="344"/>
      <c r="C450" s="344"/>
      <c r="D450" s="345"/>
      <c r="E450" s="336">
        <f>SUM(E444:E449)</f>
        <v>-525600</v>
      </c>
      <c r="F450" s="334">
        <f t="shared" ref="F450:G450" si="34">SUM(F444:F449)</f>
        <v>159320</v>
      </c>
      <c r="G450" s="337">
        <f t="shared" si="34"/>
        <v>684920</v>
      </c>
      <c r="H450" s="293"/>
      <c r="I450" s="343">
        <f t="shared" si="33"/>
        <v>0.15000000000000002</v>
      </c>
      <c r="J450" s="341">
        <f t="shared" si="31"/>
        <v>25.061066852308294</v>
      </c>
      <c r="K450" s="342">
        <f t="shared" si="32"/>
        <v>4630.5919681566593</v>
      </c>
      <c r="M450" s="261"/>
      <c r="P450" s="261"/>
      <c r="Q450" s="261"/>
      <c r="R450" s="261"/>
      <c r="S450" s="261"/>
      <c r="T450" s="261"/>
      <c r="U450" s="261"/>
      <c r="V450" s="261"/>
      <c r="W450" s="261"/>
      <c r="X450" s="261"/>
      <c r="Y450" s="261"/>
      <c r="Z450" s="261"/>
      <c r="AA450" s="261"/>
      <c r="AB450" s="261"/>
      <c r="AC450" s="261"/>
      <c r="AD450" s="261"/>
      <c r="AE450" s="261"/>
      <c r="AF450" s="261"/>
      <c r="AG450" s="261"/>
      <c r="AH450" s="261"/>
      <c r="AI450" s="261"/>
      <c r="AJ450" s="261"/>
    </row>
    <row r="451" spans="1:37" s="70" customFormat="1" ht="15.75" thickBot="1">
      <c r="A451" s="346" t="s">
        <v>229</v>
      </c>
      <c r="B451" s="347">
        <f>NPV(E441,B445:B449)-B444</f>
        <v>0</v>
      </c>
      <c r="C451" s="347">
        <f>NPV(E441,C445:C449)+C444</f>
        <v>314567.19052143447</v>
      </c>
      <c r="D451" s="348"/>
      <c r="E451" s="349">
        <f>NPV($E$441,E445:E449)+E444</f>
        <v>-378934.07439050684</v>
      </c>
      <c r="F451" s="347">
        <f t="shared" ref="F451:G451" si="35">NPV($E$441,F445:F449)+F444</f>
        <v>37567.190521434473</v>
      </c>
      <c r="G451" s="350">
        <f t="shared" si="35"/>
        <v>416501.26491194125</v>
      </c>
      <c r="H451" s="293"/>
      <c r="I451" s="343">
        <f t="shared" si="33"/>
        <v>0.2</v>
      </c>
      <c r="J451" s="341">
        <f t="shared" si="31"/>
        <v>22.897217802623086</v>
      </c>
      <c r="K451" s="342">
        <f t="shared" si="32"/>
        <v>-5359.1778112234024</v>
      </c>
      <c r="M451" s="351"/>
      <c r="P451" s="261"/>
      <c r="Q451" s="261"/>
      <c r="R451" s="261"/>
      <c r="S451" s="261"/>
      <c r="T451" s="261"/>
      <c r="U451" s="261"/>
      <c r="V451" s="261"/>
      <c r="W451" s="261"/>
      <c r="X451" s="261"/>
      <c r="Y451" s="261"/>
      <c r="Z451" s="261"/>
      <c r="AA451" s="261"/>
      <c r="AB451" s="261"/>
      <c r="AC451" s="261"/>
      <c r="AD451" s="261"/>
      <c r="AE451" s="261"/>
      <c r="AF451" s="261"/>
      <c r="AG451" s="261"/>
      <c r="AH451" s="261"/>
      <c r="AI451" s="261"/>
      <c r="AJ451" s="261"/>
    </row>
    <row r="452" spans="1:37" s="70" customFormat="1" ht="15.75" thickBot="1">
      <c r="A452" s="328"/>
      <c r="B452" s="328"/>
      <c r="C452" s="293"/>
      <c r="D452" s="293"/>
      <c r="E452" s="293"/>
      <c r="F452" s="293"/>
      <c r="G452" s="293"/>
      <c r="H452" s="293"/>
      <c r="I452" s="343">
        <f t="shared" si="33"/>
        <v>0.25</v>
      </c>
      <c r="J452" s="341">
        <f t="shared" si="31"/>
        <v>20.64919562113279</v>
      </c>
      <c r="K452" s="342">
        <f t="shared" si="32"/>
        <v>-15737.546882436931</v>
      </c>
      <c r="M452" s="351"/>
      <c r="P452" s="261"/>
      <c r="Q452" s="261"/>
      <c r="R452" s="261"/>
      <c r="S452" s="261"/>
      <c r="T452" s="261"/>
      <c r="U452" s="261"/>
      <c r="V452" s="261"/>
      <c r="W452" s="261"/>
      <c r="X452" s="261"/>
      <c r="Y452" s="261"/>
      <c r="Z452" s="261"/>
      <c r="AA452" s="261"/>
      <c r="AB452" s="261"/>
      <c r="AC452" s="261"/>
      <c r="AD452" s="261"/>
      <c r="AE452" s="261"/>
      <c r="AF452" s="261"/>
      <c r="AG452" s="261"/>
      <c r="AH452" s="261"/>
      <c r="AI452" s="261"/>
      <c r="AJ452" s="261"/>
      <c r="AK452" s="261"/>
    </row>
    <row r="453" spans="1:37" s="70" customFormat="1" ht="15.75" thickBot="1">
      <c r="A453" s="1239" t="s">
        <v>651</v>
      </c>
      <c r="B453" s="1240"/>
      <c r="C453" s="1240"/>
      <c r="D453" s="324" t="s">
        <v>113</v>
      </c>
      <c r="E453" s="325">
        <f>I380</f>
        <v>0.25</v>
      </c>
      <c r="F453" s="326"/>
      <c r="G453" s="327"/>
      <c r="H453" s="352"/>
      <c r="I453" s="343">
        <f t="shared" si="33"/>
        <v>0.3</v>
      </c>
      <c r="J453" s="341">
        <f t="shared" si="31"/>
        <v>18.325107098229584</v>
      </c>
      <c r="K453" s="342">
        <f t="shared" si="32"/>
        <v>-26467.088896506742</v>
      </c>
      <c r="M453" s="351"/>
      <c r="P453" s="261"/>
      <c r="Q453" s="261"/>
      <c r="R453" s="261"/>
      <c r="S453" s="261"/>
      <c r="T453" s="261"/>
      <c r="U453" s="261"/>
      <c r="V453" s="261"/>
      <c r="W453" s="261"/>
      <c r="X453" s="261"/>
      <c r="Y453" s="261"/>
      <c r="Z453" s="261"/>
      <c r="AA453" s="261"/>
      <c r="AB453" s="261"/>
      <c r="AC453" s="261"/>
      <c r="AD453" s="261"/>
      <c r="AE453" s="261"/>
      <c r="AF453" s="261"/>
      <c r="AG453" s="261"/>
      <c r="AH453" s="261"/>
      <c r="AI453" s="261"/>
      <c r="AJ453" s="261"/>
      <c r="AK453" s="261"/>
    </row>
    <row r="454" spans="1:37" s="70" customFormat="1" ht="14.1" customHeight="1">
      <c r="A454" s="329"/>
      <c r="B454" s="1244" t="s">
        <v>650</v>
      </c>
      <c r="C454" s="1244"/>
      <c r="D454" s="1245"/>
      <c r="E454" s="1241" t="s">
        <v>655</v>
      </c>
      <c r="F454" s="1242"/>
      <c r="G454" s="1243"/>
      <c r="H454" s="352"/>
      <c r="I454" s="343">
        <f t="shared" si="33"/>
        <v>0.35</v>
      </c>
      <c r="J454" s="341">
        <f t="shared" si="31"/>
        <v>15.932503313553514</v>
      </c>
      <c r="K454" s="342">
        <f t="shared" si="32"/>
        <v>-37512.943035761244</v>
      </c>
      <c r="M454" s="351"/>
      <c r="P454" s="261"/>
      <c r="Q454" s="261"/>
      <c r="R454" s="261"/>
      <c r="S454" s="261"/>
      <c r="T454" s="261"/>
      <c r="U454" s="261"/>
      <c r="V454" s="261"/>
      <c r="W454" s="261"/>
      <c r="X454" s="261"/>
      <c r="Y454" s="261"/>
      <c r="Z454" s="261"/>
      <c r="AA454" s="261"/>
      <c r="AB454" s="261"/>
      <c r="AC454" s="261"/>
      <c r="AD454" s="261"/>
      <c r="AE454" s="261"/>
      <c r="AF454" s="261"/>
      <c r="AG454" s="261"/>
      <c r="AH454" s="261"/>
      <c r="AI454" s="261"/>
      <c r="AJ454" s="261"/>
      <c r="AK454" s="261"/>
    </row>
    <row r="455" spans="1:37" s="70" customFormat="1">
      <c r="A455" s="330" t="s">
        <v>298</v>
      </c>
      <c r="B455" s="331" t="s">
        <v>16</v>
      </c>
      <c r="C455" s="331" t="s">
        <v>649</v>
      </c>
      <c r="D455" s="865" t="s">
        <v>970</v>
      </c>
      <c r="E455" s="330" t="s">
        <v>653</v>
      </c>
      <c r="F455" s="332" t="s">
        <v>654</v>
      </c>
      <c r="G455" s="333" t="s">
        <v>657</v>
      </c>
      <c r="H455" s="352"/>
      <c r="I455" s="343">
        <f t="shared" si="33"/>
        <v>0.39999999999999997</v>
      </c>
      <c r="J455" s="341">
        <f t="shared" si="31"/>
        <v>13.478345271159185</v>
      </c>
      <c r="K455" s="342">
        <f t="shared" si="32"/>
        <v>-48842.972664815083</v>
      </c>
      <c r="M455" s="351"/>
      <c r="P455" s="261"/>
      <c r="Q455" s="261"/>
      <c r="R455" s="261"/>
      <c r="S455" s="261"/>
      <c r="T455" s="261"/>
      <c r="U455" s="261"/>
      <c r="V455" s="261"/>
      <c r="W455" s="261"/>
      <c r="X455" s="261"/>
      <c r="Y455" s="261"/>
      <c r="Z455" s="261"/>
      <c r="AA455" s="261"/>
      <c r="AB455" s="261"/>
      <c r="AC455" s="261"/>
      <c r="AD455" s="261"/>
      <c r="AE455" s="261"/>
      <c r="AF455" s="261"/>
      <c r="AG455" s="261"/>
      <c r="AH455" s="261"/>
      <c r="AI455" s="261"/>
      <c r="AJ455" s="261"/>
      <c r="AK455" s="261"/>
    </row>
    <row r="456" spans="1:37" s="70" customFormat="1">
      <c r="A456" s="330">
        <v>0</v>
      </c>
      <c r="B456" s="334">
        <f>-J422</f>
        <v>-60</v>
      </c>
      <c r="C456" s="334">
        <v>0</v>
      </c>
      <c r="D456" s="335">
        <f>C456+B456</f>
        <v>-60</v>
      </c>
      <c r="E456" s="336">
        <v>0</v>
      </c>
      <c r="F456" s="334">
        <f>B456</f>
        <v>-60</v>
      </c>
      <c r="G456" s="337">
        <f>F456-E456</f>
        <v>-60</v>
      </c>
      <c r="H456" s="352"/>
      <c r="I456" s="343">
        <f t="shared" ref="I456" si="36">I455+0.05</f>
        <v>0.44999999999999996</v>
      </c>
      <c r="J456" s="341">
        <f t="shared" si="31"/>
        <v>10.968996803158468</v>
      </c>
      <c r="K456" s="342">
        <f t="shared" si="32"/>
        <v>-60427.798092085053</v>
      </c>
      <c r="M456" s="351"/>
      <c r="P456" s="261"/>
      <c r="Q456" s="261"/>
      <c r="R456" s="261"/>
      <c r="S456" s="261"/>
      <c r="T456" s="261"/>
      <c r="U456" s="261"/>
      <c r="V456" s="261"/>
      <c r="W456" s="261"/>
      <c r="X456" s="261"/>
      <c r="Y456" s="261"/>
      <c r="Z456" s="261"/>
      <c r="AA456" s="261"/>
      <c r="AB456" s="261"/>
      <c r="AC456" s="261"/>
      <c r="AD456" s="261"/>
      <c r="AE456" s="261"/>
      <c r="AF456" s="261"/>
      <c r="AG456" s="261"/>
      <c r="AH456" s="261"/>
      <c r="AI456" s="261"/>
      <c r="AJ456" s="261"/>
      <c r="AK456" s="261"/>
    </row>
    <row r="457" spans="1:37" s="70" customFormat="1">
      <c r="A457" s="330">
        <v>1</v>
      </c>
      <c r="B457" s="334">
        <f>-J423</f>
        <v>-22.310804378867203</v>
      </c>
      <c r="C457" s="334">
        <f>J425</f>
        <v>42.959999999999994</v>
      </c>
      <c r="D457" s="335">
        <f t="shared" ref="D457:D461" si="37">C457+B457</f>
        <v>20.64919562113279</v>
      </c>
      <c r="E457" s="336">
        <f>-J420</f>
        <v>-87.6</v>
      </c>
      <c r="F457" s="334">
        <f>C457</f>
        <v>42.959999999999994</v>
      </c>
      <c r="G457" s="337">
        <f t="shared" ref="G457:G461" si="38">F457-E457</f>
        <v>130.56</v>
      </c>
      <c r="H457" s="352"/>
      <c r="I457" s="343">
        <f t="shared" ref="I457" si="39">I456+0.05</f>
        <v>0.49999999999999994</v>
      </c>
      <c r="J457" s="341">
        <f t="shared" si="31"/>
        <v>8.4102369668246482</v>
      </c>
      <c r="K457" s="342">
        <f t="shared" si="32"/>
        <v>-72240.739336492843</v>
      </c>
      <c r="L457" s="353"/>
      <c r="P457" s="261"/>
      <c r="Q457" s="261"/>
      <c r="R457" s="261"/>
      <c r="S457" s="261"/>
      <c r="T457" s="261"/>
      <c r="U457" s="261"/>
      <c r="V457" s="261"/>
      <c r="W457" s="261"/>
      <c r="X457" s="261"/>
      <c r="Y457" s="261"/>
      <c r="Z457" s="261"/>
      <c r="AA457" s="261"/>
      <c r="AB457" s="261"/>
      <c r="AC457" s="261"/>
      <c r="AD457" s="261"/>
      <c r="AE457" s="261"/>
      <c r="AF457" s="261"/>
      <c r="AG457" s="261"/>
      <c r="AH457" s="261"/>
      <c r="AI457" s="261"/>
      <c r="AJ457" s="261"/>
      <c r="AK457" s="261"/>
    </row>
    <row r="458" spans="1:37" s="70" customFormat="1">
      <c r="A458" s="330">
        <v>2</v>
      </c>
      <c r="B458" s="334">
        <f>B457</f>
        <v>-22.310804378867203</v>
      </c>
      <c r="C458" s="334">
        <f>C457</f>
        <v>42.959999999999994</v>
      </c>
      <c r="D458" s="335">
        <f t="shared" si="37"/>
        <v>20.64919562113279</v>
      </c>
      <c r="E458" s="336">
        <f>E457</f>
        <v>-87.6</v>
      </c>
      <c r="F458" s="334">
        <f>C458</f>
        <v>42.959999999999994</v>
      </c>
      <c r="G458" s="337">
        <f t="shared" si="38"/>
        <v>130.56</v>
      </c>
      <c r="H458" s="352"/>
      <c r="I458" s="343">
        <f t="shared" ref="I458" si="40">I457+0.05</f>
        <v>0.54999999999999993</v>
      </c>
      <c r="J458" s="341">
        <f t="shared" si="31"/>
        <v>5.8072856604610976</v>
      </c>
      <c r="K458" s="342">
        <f t="shared" si="32"/>
        <v>-84257.697867537907</v>
      </c>
      <c r="L458" s="353"/>
      <c r="P458" s="261"/>
      <c r="Q458" s="261"/>
      <c r="R458" s="261"/>
      <c r="S458" s="261"/>
      <c r="T458" s="261"/>
      <c r="U458" s="261"/>
      <c r="V458" s="261"/>
      <c r="W458" s="261"/>
      <c r="X458" s="261"/>
      <c r="Y458" s="261"/>
      <c r="Z458" s="261"/>
      <c r="AA458" s="261"/>
      <c r="AB458" s="261"/>
      <c r="AC458" s="261"/>
      <c r="AD458" s="261"/>
      <c r="AE458" s="261"/>
      <c r="AF458" s="261"/>
      <c r="AG458" s="261"/>
      <c r="AH458" s="261"/>
      <c r="AI458" s="261"/>
      <c r="AJ458" s="261"/>
      <c r="AK458" s="261"/>
    </row>
    <row r="459" spans="1:37" s="70" customFormat="1">
      <c r="A459" s="330">
        <v>3</v>
      </c>
      <c r="B459" s="334">
        <f t="shared" ref="B459:B461" si="41">B458</f>
        <v>-22.310804378867203</v>
      </c>
      <c r="C459" s="334">
        <f t="shared" ref="C459:C461" si="42">C458</f>
        <v>42.959999999999994</v>
      </c>
      <c r="D459" s="335">
        <f t="shared" si="37"/>
        <v>20.64919562113279</v>
      </c>
      <c r="E459" s="336">
        <f t="shared" ref="E459:E461" si="43">E458</f>
        <v>-87.6</v>
      </c>
      <c r="F459" s="334">
        <f>C459</f>
        <v>42.959999999999994</v>
      </c>
      <c r="G459" s="337">
        <f t="shared" si="38"/>
        <v>130.56</v>
      </c>
      <c r="H459" s="352"/>
      <c r="I459" s="343">
        <f t="shared" ref="I459" si="44">I458+0.05</f>
        <v>0.6</v>
      </c>
      <c r="J459" s="341">
        <f t="shared" si="31"/>
        <v>3.1648375670478615</v>
      </c>
      <c r="K459" s="342">
        <f t="shared" si="32"/>
        <v>-96456.99989879565</v>
      </c>
      <c r="L459" s="353"/>
      <c r="P459" s="261"/>
      <c r="Q459" s="261"/>
      <c r="R459" s="261"/>
      <c r="S459" s="261"/>
      <c r="T459" s="261"/>
      <c r="U459" s="261"/>
      <c r="V459" s="261"/>
      <c r="W459" s="261"/>
      <c r="X459" s="261"/>
      <c r="Y459" s="261"/>
      <c r="Z459" s="261"/>
      <c r="AA459" s="261"/>
      <c r="AB459" s="261"/>
      <c r="AC459" s="261"/>
      <c r="AD459" s="261"/>
      <c r="AE459" s="261"/>
      <c r="AF459" s="261"/>
      <c r="AG459" s="261"/>
      <c r="AH459" s="261"/>
      <c r="AI459" s="261"/>
      <c r="AJ459" s="261"/>
      <c r="AK459" s="261"/>
    </row>
    <row r="460" spans="1:37" s="70" customFormat="1">
      <c r="A460" s="330">
        <v>4</v>
      </c>
      <c r="B460" s="334">
        <f t="shared" si="41"/>
        <v>-22.310804378867203</v>
      </c>
      <c r="C460" s="334">
        <f t="shared" si="42"/>
        <v>42.959999999999994</v>
      </c>
      <c r="D460" s="335">
        <f t="shared" si="37"/>
        <v>20.64919562113279</v>
      </c>
      <c r="E460" s="336">
        <f t="shared" si="43"/>
        <v>-87.6</v>
      </c>
      <c r="F460" s="334">
        <f>C460</f>
        <v>42.959999999999994</v>
      </c>
      <c r="G460" s="337">
        <f t="shared" si="38"/>
        <v>130.56</v>
      </c>
      <c r="H460" s="352"/>
      <c r="I460" s="343">
        <f t="shared" ref="I460" si="45">I459+0.05</f>
        <v>0.65</v>
      </c>
      <c r="J460" s="341">
        <f t="shared" si="31"/>
        <v>0.48710073325202075</v>
      </c>
      <c r="K460" s="342">
        <f t="shared" si="32"/>
        <v>-108819.21828148645</v>
      </c>
      <c r="L460" s="353"/>
      <c r="P460" s="261"/>
      <c r="Q460" s="261"/>
      <c r="R460" s="261"/>
      <c r="S460" s="261"/>
      <c r="T460" s="261"/>
      <c r="U460" s="261"/>
      <c r="V460" s="261"/>
      <c r="W460" s="261"/>
      <c r="X460" s="261"/>
      <c r="Y460" s="261"/>
      <c r="Z460" s="261"/>
      <c r="AA460" s="261"/>
      <c r="AB460" s="261"/>
      <c r="AC460" s="261"/>
      <c r="AD460" s="261"/>
      <c r="AE460" s="261"/>
      <c r="AF460" s="261"/>
      <c r="AG460" s="261"/>
      <c r="AH460" s="261"/>
      <c r="AI460" s="261"/>
      <c r="AJ460" s="261"/>
      <c r="AK460" s="261"/>
    </row>
    <row r="461" spans="1:37" s="70" customFormat="1" ht="15.75" thickBot="1">
      <c r="A461" s="330">
        <v>5</v>
      </c>
      <c r="B461" s="334">
        <f t="shared" si="41"/>
        <v>-22.310804378867203</v>
      </c>
      <c r="C461" s="334">
        <f t="shared" si="42"/>
        <v>42.959999999999994</v>
      </c>
      <c r="D461" s="335">
        <f t="shared" si="37"/>
        <v>20.64919562113279</v>
      </c>
      <c r="E461" s="336">
        <f t="shared" si="43"/>
        <v>-87.6</v>
      </c>
      <c r="F461" s="334">
        <f>C461</f>
        <v>42.959999999999994</v>
      </c>
      <c r="G461" s="337">
        <f t="shared" si="38"/>
        <v>130.56</v>
      </c>
      <c r="H461" s="293"/>
      <c r="I461" s="354">
        <f t="shared" ref="I461" si="46">I460+0.05</f>
        <v>0.70000000000000007</v>
      </c>
      <c r="J461" s="355">
        <f t="shared" si="31"/>
        <v>-2.2221629161341099</v>
      </c>
      <c r="K461" s="356">
        <f t="shared" si="32"/>
        <v>-121326.98546281908</v>
      </c>
      <c r="P461" s="261"/>
      <c r="Q461" s="261"/>
      <c r="R461" s="261"/>
      <c r="S461" s="261"/>
      <c r="T461" s="261"/>
      <c r="U461" s="261"/>
      <c r="V461" s="261"/>
      <c r="W461" s="261"/>
      <c r="X461" s="261"/>
      <c r="Y461" s="261"/>
      <c r="Z461" s="261"/>
      <c r="AA461" s="261"/>
      <c r="AB461" s="261"/>
      <c r="AC461" s="261"/>
      <c r="AD461" s="261"/>
      <c r="AE461" s="261"/>
      <c r="AF461" s="261"/>
      <c r="AG461" s="261"/>
      <c r="AH461" s="261"/>
      <c r="AI461" s="261"/>
      <c r="AJ461" s="261"/>
      <c r="AK461" s="261"/>
    </row>
    <row r="462" spans="1:37" s="70" customFormat="1">
      <c r="A462" s="330" t="s">
        <v>632</v>
      </c>
      <c r="B462" s="344"/>
      <c r="C462" s="344"/>
      <c r="D462" s="345"/>
      <c r="E462" s="336">
        <f>SUM(E456:E461)</f>
        <v>-438</v>
      </c>
      <c r="F462" s="334">
        <f t="shared" ref="F462:G462" si="47">SUM(F456:F461)</f>
        <v>154.79999999999995</v>
      </c>
      <c r="G462" s="337">
        <f t="shared" si="47"/>
        <v>592.79999999999995</v>
      </c>
      <c r="H462" s="293"/>
      <c r="I462" s="293"/>
      <c r="J462" s="293"/>
      <c r="K462" s="293"/>
      <c r="P462" s="261"/>
      <c r="Q462" s="261"/>
      <c r="R462" s="261"/>
      <c r="S462" s="261"/>
      <c r="T462" s="261"/>
      <c r="U462" s="261"/>
      <c r="V462" s="261"/>
      <c r="W462" s="261"/>
      <c r="X462" s="261"/>
      <c r="Y462" s="261"/>
      <c r="Z462" s="261"/>
      <c r="AA462" s="261"/>
      <c r="AB462" s="261"/>
      <c r="AC462" s="261"/>
      <c r="AD462" s="261"/>
      <c r="AE462" s="261"/>
      <c r="AF462" s="261"/>
      <c r="AG462" s="261"/>
      <c r="AH462" s="261"/>
      <c r="AI462" s="261"/>
      <c r="AJ462" s="261"/>
      <c r="AK462" s="261"/>
    </row>
    <row r="463" spans="1:37" s="70" customFormat="1" ht="15.75" thickBot="1">
      <c r="A463" s="346" t="s">
        <v>229</v>
      </c>
      <c r="B463" s="347">
        <f>NPV(E453,B457:B461)-B456</f>
        <v>0</v>
      </c>
      <c r="C463" s="347">
        <f>NPV(E453,C457:C461)+C456</f>
        <v>115.5314688</v>
      </c>
      <c r="D463" s="348"/>
      <c r="E463" s="349">
        <f>NPV($E$453,E457:E461)+E456</f>
        <v>-235.580928</v>
      </c>
      <c r="F463" s="347">
        <f>NPV($E$453,F457:F461)+F456</f>
        <v>55.531468799999999</v>
      </c>
      <c r="G463" s="350">
        <f>NPV($E$453,G457:G461)+G456</f>
        <v>291.11239680000006</v>
      </c>
      <c r="H463" s="293"/>
      <c r="I463" s="293"/>
      <c r="J463" s="293"/>
      <c r="K463" s="293"/>
      <c r="P463" s="261"/>
      <c r="Q463" s="261"/>
      <c r="R463" s="261"/>
      <c r="S463" s="261"/>
      <c r="T463" s="261"/>
      <c r="U463" s="261"/>
      <c r="V463" s="261"/>
      <c r="W463" s="261"/>
      <c r="X463" s="261"/>
      <c r="Y463" s="261"/>
      <c r="Z463" s="261"/>
      <c r="AA463" s="261"/>
      <c r="AB463" s="261"/>
      <c r="AC463" s="261"/>
      <c r="AD463" s="261"/>
      <c r="AE463" s="261"/>
      <c r="AF463" s="261"/>
      <c r="AG463" s="261"/>
      <c r="AH463" s="261"/>
      <c r="AI463" s="261"/>
      <c r="AJ463" s="261"/>
      <c r="AK463" s="261"/>
    </row>
    <row r="464" spans="1:37" s="70" customFormat="1">
      <c r="P464" s="261"/>
      <c r="Q464" s="261"/>
      <c r="R464" s="261"/>
      <c r="S464" s="261"/>
      <c r="T464" s="261"/>
      <c r="U464" s="261"/>
      <c r="V464" s="261"/>
      <c r="W464" s="261"/>
      <c r="X464" s="261"/>
      <c r="Y464" s="261"/>
      <c r="Z464" s="261"/>
      <c r="AA464" s="261"/>
      <c r="AB464" s="261"/>
      <c r="AC464" s="261"/>
      <c r="AD464" s="261"/>
      <c r="AE464" s="261"/>
      <c r="AF464" s="261"/>
      <c r="AG464" s="261"/>
      <c r="AH464" s="261"/>
      <c r="AI464" s="261"/>
      <c r="AJ464" s="261"/>
      <c r="AK464" s="261"/>
    </row>
    <row r="465" spans="6:37" s="70" customFormat="1">
      <c r="P465" s="261"/>
      <c r="Q465" s="261"/>
      <c r="R465" s="261"/>
      <c r="S465" s="261"/>
      <c r="T465" s="261"/>
      <c r="U465" s="261"/>
      <c r="V465" s="261"/>
      <c r="W465" s="261"/>
      <c r="X465" s="261"/>
      <c r="Y465" s="261"/>
      <c r="Z465" s="261"/>
      <c r="AA465" s="261"/>
      <c r="AB465" s="261"/>
      <c r="AC465" s="261"/>
      <c r="AD465" s="261"/>
      <c r="AE465" s="261"/>
      <c r="AF465" s="261"/>
      <c r="AG465" s="261"/>
      <c r="AH465" s="261"/>
      <c r="AI465" s="261"/>
      <c r="AJ465" s="261"/>
      <c r="AK465" s="261"/>
    </row>
    <row r="466" spans="6:37" s="70" customFormat="1">
      <c r="F466" s="221"/>
      <c r="G466" s="221"/>
      <c r="M466" s="323"/>
      <c r="N466" s="261"/>
      <c r="O466" s="261"/>
      <c r="P466" s="261"/>
      <c r="Q466" s="261"/>
      <c r="R466" s="261"/>
      <c r="S466" s="261"/>
      <c r="T466" s="261"/>
      <c r="U466" s="261"/>
      <c r="V466" s="261"/>
      <c r="W466" s="261"/>
      <c r="X466" s="261"/>
      <c r="Y466" s="261"/>
      <c r="Z466" s="261"/>
      <c r="AA466" s="261"/>
      <c r="AB466" s="261"/>
      <c r="AC466" s="261"/>
      <c r="AD466" s="261"/>
      <c r="AE466" s="261"/>
      <c r="AF466" s="261"/>
      <c r="AG466" s="261"/>
      <c r="AH466" s="261"/>
      <c r="AI466" s="261"/>
      <c r="AJ466" s="261"/>
      <c r="AK466" s="261"/>
    </row>
    <row r="467" spans="6:37" s="70" customFormat="1">
      <c r="F467" s="221"/>
      <c r="G467" s="221"/>
      <c r="M467" s="323"/>
      <c r="N467" s="261"/>
      <c r="O467" s="261"/>
      <c r="P467" s="261"/>
      <c r="Q467" s="261"/>
      <c r="R467" s="261"/>
      <c r="S467" s="261"/>
      <c r="T467" s="261"/>
      <c r="U467" s="261"/>
      <c r="V467" s="261"/>
      <c r="W467" s="261"/>
      <c r="X467" s="261"/>
      <c r="Y467" s="261"/>
      <c r="Z467" s="261"/>
      <c r="AA467" s="261"/>
      <c r="AB467" s="261"/>
      <c r="AC467" s="261"/>
      <c r="AD467" s="261"/>
      <c r="AE467" s="261"/>
      <c r="AF467" s="261"/>
      <c r="AG467" s="261"/>
      <c r="AH467" s="261"/>
      <c r="AI467" s="261"/>
      <c r="AJ467" s="261"/>
      <c r="AK467" s="261"/>
    </row>
    <row r="468" spans="6:37" s="70" customFormat="1">
      <c r="F468" s="221"/>
      <c r="G468" s="221"/>
      <c r="M468" s="323"/>
      <c r="N468" s="261"/>
      <c r="O468" s="261"/>
      <c r="P468" s="261"/>
      <c r="Q468" s="261"/>
      <c r="R468" s="261"/>
      <c r="S468" s="261"/>
      <c r="T468" s="261"/>
      <c r="U468" s="261"/>
      <c r="V468" s="261"/>
      <c r="W468" s="261"/>
      <c r="X468" s="261"/>
      <c r="Y468" s="261"/>
      <c r="Z468" s="261"/>
      <c r="AA468" s="261"/>
      <c r="AB468" s="261"/>
      <c r="AC468" s="261"/>
      <c r="AD468" s="261"/>
      <c r="AE468" s="261"/>
      <c r="AF468" s="261"/>
      <c r="AG468" s="261"/>
      <c r="AH468" s="261"/>
      <c r="AI468" s="261"/>
      <c r="AJ468" s="261"/>
      <c r="AK468" s="261"/>
    </row>
    <row r="469" spans="6:37" s="70" customFormat="1">
      <c r="F469" s="221"/>
      <c r="G469" s="221"/>
      <c r="M469" s="323"/>
      <c r="N469" s="261"/>
      <c r="O469" s="261"/>
      <c r="P469" s="261"/>
      <c r="Q469" s="261"/>
      <c r="R469" s="261"/>
      <c r="S469" s="261"/>
      <c r="T469" s="261"/>
      <c r="U469" s="261"/>
      <c r="V469" s="261"/>
      <c r="W469" s="261"/>
      <c r="X469" s="261"/>
      <c r="Y469" s="261"/>
      <c r="Z469" s="261"/>
      <c r="AA469" s="261"/>
      <c r="AB469" s="261"/>
      <c r="AC469" s="261"/>
      <c r="AD469" s="261"/>
      <c r="AE469" s="261"/>
      <c r="AF469" s="261"/>
      <c r="AG469" s="261"/>
      <c r="AH469" s="261"/>
      <c r="AI469" s="261"/>
      <c r="AJ469" s="261"/>
      <c r="AK469" s="261"/>
    </row>
    <row r="470" spans="6:37" s="70" customFormat="1">
      <c r="F470" s="221"/>
      <c r="G470" s="221"/>
      <c r="M470" s="323"/>
      <c r="N470" s="261"/>
      <c r="O470" s="261"/>
      <c r="P470" s="261"/>
      <c r="Q470" s="261"/>
      <c r="R470" s="261"/>
      <c r="S470" s="261"/>
      <c r="T470" s="261"/>
      <c r="U470" s="261"/>
      <c r="V470" s="261"/>
      <c r="W470" s="261"/>
      <c r="X470" s="261"/>
      <c r="Y470" s="261"/>
      <c r="Z470" s="261"/>
      <c r="AA470" s="261"/>
      <c r="AB470" s="261"/>
      <c r="AC470" s="261"/>
      <c r="AD470" s="261"/>
      <c r="AE470" s="261"/>
      <c r="AF470" s="261"/>
      <c r="AG470" s="261"/>
      <c r="AH470" s="261"/>
      <c r="AI470" s="261"/>
      <c r="AJ470" s="261"/>
      <c r="AK470" s="261"/>
    </row>
    <row r="471" spans="6:37" s="70" customFormat="1">
      <c r="F471" s="221"/>
      <c r="G471" s="221"/>
      <c r="M471" s="323"/>
      <c r="N471" s="261"/>
      <c r="O471" s="261"/>
      <c r="P471" s="261"/>
      <c r="Q471" s="261"/>
      <c r="R471" s="261"/>
      <c r="S471" s="261"/>
      <c r="T471" s="261"/>
      <c r="U471" s="261"/>
      <c r="V471" s="261"/>
      <c r="W471" s="261"/>
      <c r="X471" s="261"/>
      <c r="Y471" s="261"/>
      <c r="Z471" s="261"/>
      <c r="AA471" s="261"/>
      <c r="AB471" s="261"/>
      <c r="AC471" s="261"/>
      <c r="AD471" s="261"/>
      <c r="AE471" s="261"/>
      <c r="AF471" s="261"/>
      <c r="AG471" s="261"/>
      <c r="AH471" s="261"/>
      <c r="AI471" s="261"/>
      <c r="AJ471" s="261"/>
      <c r="AK471" s="261"/>
    </row>
    <row r="472" spans="6:37" s="70" customFormat="1">
      <c r="F472" s="221"/>
      <c r="G472" s="221"/>
      <c r="M472" s="323"/>
      <c r="N472" s="261"/>
      <c r="O472" s="261"/>
      <c r="P472" s="261"/>
      <c r="Q472" s="261"/>
      <c r="R472" s="261"/>
      <c r="S472" s="261"/>
      <c r="T472" s="261"/>
      <c r="U472" s="261"/>
      <c r="V472" s="261"/>
      <c r="W472" s="261"/>
      <c r="X472" s="261"/>
      <c r="Y472" s="261"/>
      <c r="Z472" s="261"/>
      <c r="AA472" s="261"/>
      <c r="AB472" s="261"/>
      <c r="AC472" s="261"/>
      <c r="AD472" s="261"/>
      <c r="AE472" s="261"/>
      <c r="AF472" s="261"/>
      <c r="AG472" s="261"/>
      <c r="AH472" s="261"/>
      <c r="AI472" s="261"/>
      <c r="AJ472" s="261"/>
      <c r="AK472" s="261"/>
    </row>
    <row r="473" spans="6:37" s="70" customFormat="1">
      <c r="F473" s="221"/>
      <c r="G473" s="221"/>
      <c r="M473" s="323"/>
      <c r="N473" s="261"/>
      <c r="O473" s="261"/>
      <c r="P473" s="261"/>
      <c r="Q473" s="261"/>
      <c r="R473" s="261"/>
      <c r="S473" s="261"/>
      <c r="T473" s="261"/>
      <c r="U473" s="261"/>
      <c r="V473" s="261"/>
      <c r="W473" s="261"/>
      <c r="X473" s="261"/>
      <c r="Y473" s="261"/>
      <c r="Z473" s="261"/>
      <c r="AA473" s="261"/>
      <c r="AB473" s="261"/>
      <c r="AC473" s="261"/>
      <c r="AD473" s="261"/>
      <c r="AE473" s="261"/>
      <c r="AF473" s="261"/>
      <c r="AG473" s="261"/>
      <c r="AH473" s="261"/>
      <c r="AI473" s="261"/>
      <c r="AJ473" s="261"/>
      <c r="AK473" s="261"/>
    </row>
    <row r="474" spans="6:37" s="70" customFormat="1">
      <c r="F474" s="221"/>
      <c r="G474" s="221"/>
      <c r="M474" s="323"/>
      <c r="N474" s="261"/>
      <c r="O474" s="261"/>
      <c r="P474" s="261"/>
      <c r="Q474" s="261"/>
      <c r="R474" s="261"/>
      <c r="S474" s="261"/>
      <c r="T474" s="261"/>
      <c r="U474" s="261"/>
      <c r="V474" s="261"/>
      <c r="W474" s="261"/>
      <c r="X474" s="261"/>
      <c r="Y474" s="261"/>
      <c r="Z474" s="261"/>
      <c r="AA474" s="261"/>
      <c r="AB474" s="261"/>
      <c r="AC474" s="261"/>
      <c r="AD474" s="261"/>
      <c r="AE474" s="261"/>
      <c r="AF474" s="261"/>
      <c r="AG474" s="261"/>
      <c r="AH474" s="261"/>
      <c r="AI474" s="261"/>
      <c r="AJ474" s="261"/>
      <c r="AK474" s="261"/>
    </row>
    <row r="475" spans="6:37" s="70" customFormat="1">
      <c r="F475" s="221"/>
      <c r="G475" s="221"/>
      <c r="M475" s="323"/>
      <c r="N475" s="261"/>
      <c r="O475" s="261"/>
      <c r="P475" s="261"/>
      <c r="Q475" s="261"/>
      <c r="R475" s="261"/>
      <c r="S475" s="261"/>
      <c r="T475" s="261"/>
      <c r="U475" s="261"/>
      <c r="V475" s="261"/>
      <c r="W475" s="261"/>
      <c r="X475" s="261"/>
      <c r="Y475" s="261"/>
      <c r="Z475" s="261"/>
      <c r="AA475" s="261"/>
      <c r="AB475" s="261"/>
      <c r="AC475" s="261"/>
      <c r="AD475" s="261"/>
      <c r="AE475" s="261"/>
      <c r="AF475" s="261"/>
      <c r="AG475" s="261"/>
      <c r="AH475" s="261"/>
      <c r="AI475" s="261"/>
      <c r="AJ475" s="261"/>
      <c r="AK475" s="261"/>
    </row>
    <row r="476" spans="6:37" s="70" customFormat="1">
      <c r="F476" s="221"/>
      <c r="G476" s="221"/>
      <c r="M476" s="323"/>
      <c r="N476" s="261"/>
      <c r="O476" s="261"/>
      <c r="P476" s="261"/>
      <c r="Q476" s="261"/>
      <c r="R476" s="261"/>
      <c r="S476" s="261"/>
      <c r="T476" s="261"/>
      <c r="U476" s="261"/>
      <c r="V476" s="261"/>
      <c r="W476" s="261"/>
      <c r="X476" s="261"/>
      <c r="Y476" s="261"/>
      <c r="Z476" s="261"/>
      <c r="AA476" s="261"/>
      <c r="AB476" s="261"/>
      <c r="AC476" s="261"/>
      <c r="AD476" s="261"/>
      <c r="AE476" s="261"/>
      <c r="AF476" s="261"/>
      <c r="AG476" s="261"/>
      <c r="AH476" s="261"/>
      <c r="AI476" s="261"/>
      <c r="AJ476" s="261"/>
      <c r="AK476" s="261"/>
    </row>
    <row r="477" spans="6:37" s="70" customFormat="1">
      <c r="F477" s="221"/>
      <c r="G477" s="221"/>
      <c r="M477" s="323"/>
      <c r="N477" s="261"/>
      <c r="O477" s="261"/>
      <c r="P477" s="261"/>
      <c r="Q477" s="261"/>
      <c r="R477" s="261"/>
      <c r="S477" s="261"/>
      <c r="T477" s="261"/>
      <c r="U477" s="261"/>
      <c r="V477" s="261"/>
      <c r="W477" s="261"/>
      <c r="X477" s="261"/>
      <c r="Y477" s="261"/>
      <c r="Z477" s="261"/>
      <c r="AA477" s="261"/>
      <c r="AB477" s="261"/>
      <c r="AC477" s="261"/>
      <c r="AD477" s="261"/>
      <c r="AE477" s="261"/>
      <c r="AF477" s="261"/>
      <c r="AG477" s="261"/>
      <c r="AH477" s="261"/>
      <c r="AI477" s="261"/>
      <c r="AJ477" s="261"/>
      <c r="AK477" s="261"/>
    </row>
    <row r="478" spans="6:37" s="70" customFormat="1">
      <c r="F478" s="221"/>
      <c r="G478" s="221"/>
      <c r="M478" s="323"/>
      <c r="N478" s="261"/>
      <c r="O478" s="261"/>
      <c r="P478" s="261"/>
      <c r="Q478" s="261"/>
      <c r="R478" s="261"/>
      <c r="S478" s="261"/>
      <c r="T478" s="261"/>
      <c r="U478" s="261"/>
      <c r="V478" s="261"/>
      <c r="W478" s="261"/>
      <c r="X478" s="261"/>
      <c r="Y478" s="261"/>
      <c r="Z478" s="261"/>
      <c r="AA478" s="261"/>
      <c r="AB478" s="261"/>
      <c r="AC478" s="261"/>
      <c r="AD478" s="261"/>
      <c r="AE478" s="261"/>
      <c r="AF478" s="261"/>
      <c r="AG478" s="261"/>
      <c r="AH478" s="261"/>
      <c r="AI478" s="261"/>
      <c r="AJ478" s="261"/>
      <c r="AK478" s="261"/>
    </row>
    <row r="479" spans="6:37" s="70" customFormat="1">
      <c r="F479" s="221"/>
      <c r="G479" s="221"/>
      <c r="M479" s="323"/>
      <c r="N479" s="261"/>
      <c r="O479" s="261"/>
      <c r="P479" s="261"/>
      <c r="Q479" s="261"/>
      <c r="R479" s="261"/>
      <c r="S479" s="261"/>
      <c r="T479" s="261"/>
      <c r="U479" s="261"/>
      <c r="V479" s="261"/>
      <c r="W479" s="261"/>
      <c r="X479" s="261"/>
      <c r="Y479" s="261"/>
      <c r="Z479" s="261"/>
      <c r="AA479" s="261"/>
      <c r="AB479" s="261"/>
      <c r="AC479" s="261"/>
      <c r="AD479" s="261"/>
      <c r="AE479" s="261"/>
      <c r="AF479" s="261"/>
      <c r="AG479" s="261"/>
      <c r="AH479" s="261"/>
      <c r="AI479" s="261"/>
      <c r="AJ479" s="261"/>
      <c r="AK479" s="261"/>
    </row>
    <row r="480" spans="6:37" s="70" customFormat="1">
      <c r="F480" s="221"/>
      <c r="G480" s="221"/>
      <c r="H480" s="221"/>
      <c r="I480" s="221"/>
      <c r="J480" s="221"/>
      <c r="K480" s="261"/>
      <c r="L480" s="322"/>
      <c r="M480" s="323"/>
      <c r="N480" s="261"/>
      <c r="O480" s="261"/>
      <c r="P480" s="261"/>
      <c r="Q480" s="261"/>
      <c r="R480" s="261"/>
      <c r="S480" s="261"/>
      <c r="T480" s="261"/>
      <c r="U480" s="261"/>
      <c r="V480" s="261"/>
      <c r="W480" s="261"/>
      <c r="X480" s="261"/>
      <c r="Y480" s="261"/>
      <c r="Z480" s="261"/>
      <c r="AA480" s="261"/>
      <c r="AB480" s="261"/>
      <c r="AC480" s="261"/>
      <c r="AD480" s="261"/>
      <c r="AE480" s="261"/>
      <c r="AF480" s="261"/>
      <c r="AG480" s="261"/>
      <c r="AH480" s="261"/>
      <c r="AI480" s="261"/>
      <c r="AJ480" s="261"/>
      <c r="AK480" s="261"/>
    </row>
    <row r="481" spans="1:37" s="70" customFormat="1">
      <c r="F481" s="221"/>
      <c r="G481" s="221"/>
      <c r="H481" s="221"/>
      <c r="I481" s="221"/>
      <c r="J481" s="221"/>
      <c r="K481" s="261"/>
      <c r="L481" s="322"/>
      <c r="M481" s="323"/>
      <c r="N481" s="261"/>
      <c r="O481" s="261"/>
      <c r="P481" s="261"/>
      <c r="Q481" s="261"/>
      <c r="R481" s="261"/>
      <c r="S481" s="261"/>
      <c r="T481" s="261"/>
      <c r="U481" s="261"/>
      <c r="V481" s="261"/>
      <c r="W481" s="261"/>
      <c r="X481" s="261"/>
      <c r="Y481" s="261"/>
      <c r="Z481" s="261"/>
      <c r="AA481" s="261"/>
      <c r="AB481" s="261"/>
      <c r="AC481" s="261"/>
      <c r="AD481" s="261"/>
      <c r="AE481" s="261"/>
      <c r="AF481" s="261"/>
      <c r="AG481" s="261"/>
      <c r="AH481" s="261"/>
      <c r="AI481" s="261"/>
      <c r="AJ481" s="261"/>
      <c r="AK481" s="261"/>
    </row>
    <row r="482" spans="1:37" s="70" customFormat="1">
      <c r="F482" s="221"/>
      <c r="G482" s="221"/>
      <c r="H482" s="221"/>
      <c r="I482" s="221"/>
      <c r="J482" s="221"/>
      <c r="K482" s="261"/>
      <c r="L482" s="322"/>
      <c r="M482" s="323"/>
      <c r="N482" s="261"/>
      <c r="O482" s="261"/>
      <c r="P482" s="261"/>
      <c r="Q482" s="261"/>
      <c r="R482" s="261"/>
      <c r="S482" s="261"/>
      <c r="T482" s="261"/>
      <c r="U482" s="261"/>
      <c r="V482" s="261"/>
      <c r="W482" s="261"/>
      <c r="X482" s="261"/>
      <c r="Y482" s="261"/>
      <c r="Z482" s="261"/>
      <c r="AA482" s="261"/>
      <c r="AB482" s="261"/>
      <c r="AC482" s="261"/>
      <c r="AD482" s="261"/>
      <c r="AE482" s="261"/>
      <c r="AF482" s="261"/>
      <c r="AG482" s="261"/>
      <c r="AH482" s="261"/>
      <c r="AI482" s="261"/>
      <c r="AJ482" s="261"/>
      <c r="AK482" s="261"/>
    </row>
    <row r="483" spans="1:37" s="70" customFormat="1">
      <c r="F483" s="221"/>
      <c r="G483" s="221"/>
      <c r="H483" s="221"/>
      <c r="I483" s="221"/>
      <c r="J483" s="221"/>
      <c r="K483" s="261"/>
      <c r="L483" s="322"/>
      <c r="M483" s="323"/>
      <c r="N483" s="261"/>
      <c r="O483" s="261"/>
      <c r="P483" s="261"/>
      <c r="Q483" s="261"/>
      <c r="R483" s="261"/>
      <c r="S483" s="261"/>
      <c r="T483" s="261"/>
      <c r="U483" s="261"/>
      <c r="V483" s="261"/>
      <c r="W483" s="261"/>
      <c r="X483" s="261"/>
      <c r="Y483" s="261"/>
      <c r="Z483" s="261"/>
      <c r="AA483" s="261"/>
      <c r="AB483" s="261"/>
      <c r="AC483" s="261"/>
      <c r="AD483" s="261"/>
      <c r="AE483" s="261"/>
      <c r="AF483" s="261"/>
      <c r="AG483" s="261"/>
      <c r="AH483" s="261"/>
      <c r="AI483" s="261"/>
      <c r="AJ483" s="261"/>
      <c r="AK483" s="261"/>
    </row>
    <row r="484" spans="1:37" s="70" customFormat="1">
      <c r="F484" s="221"/>
      <c r="G484" s="221"/>
      <c r="H484" s="221"/>
      <c r="I484" s="221"/>
      <c r="J484" s="221"/>
      <c r="K484" s="261"/>
      <c r="L484" s="322"/>
      <c r="M484" s="323"/>
      <c r="N484" s="261"/>
      <c r="O484" s="261"/>
      <c r="P484" s="261"/>
      <c r="Q484" s="261"/>
      <c r="R484" s="261"/>
      <c r="S484" s="261"/>
      <c r="T484" s="261"/>
      <c r="U484" s="261"/>
      <c r="V484" s="261"/>
      <c r="W484" s="261"/>
      <c r="X484" s="261"/>
      <c r="Y484" s="261"/>
      <c r="Z484" s="261"/>
      <c r="AA484" s="261"/>
      <c r="AB484" s="261"/>
      <c r="AC484" s="261"/>
      <c r="AD484" s="261"/>
      <c r="AE484" s="261"/>
      <c r="AF484" s="261"/>
      <c r="AG484" s="261"/>
      <c r="AH484" s="261"/>
      <c r="AI484" s="261"/>
      <c r="AJ484" s="261"/>
      <c r="AK484" s="261"/>
    </row>
    <row r="485" spans="1:37" s="70" customFormat="1">
      <c r="F485" s="221"/>
      <c r="G485" s="221"/>
      <c r="H485" s="221"/>
      <c r="I485" s="221"/>
      <c r="J485" s="221"/>
      <c r="K485" s="261"/>
      <c r="L485" s="322"/>
      <c r="M485" s="323"/>
      <c r="N485" s="261"/>
      <c r="O485" s="261"/>
      <c r="P485" s="261"/>
      <c r="Q485" s="261"/>
      <c r="R485" s="261"/>
      <c r="S485" s="261"/>
      <c r="T485" s="261"/>
      <c r="U485" s="261"/>
      <c r="V485" s="261"/>
      <c r="W485" s="261"/>
      <c r="X485" s="261"/>
      <c r="Y485" s="261"/>
      <c r="Z485" s="261"/>
      <c r="AA485" s="261"/>
      <c r="AB485" s="261"/>
      <c r="AC485" s="261"/>
      <c r="AD485" s="261"/>
      <c r="AE485" s="261"/>
      <c r="AF485" s="261"/>
      <c r="AG485" s="261"/>
      <c r="AH485" s="261"/>
      <c r="AI485" s="261"/>
      <c r="AJ485" s="261"/>
      <c r="AK485" s="261"/>
    </row>
    <row r="486" spans="1:37" s="70" customFormat="1">
      <c r="F486" s="221"/>
      <c r="G486" s="221"/>
      <c r="H486" s="221"/>
      <c r="I486" s="221"/>
      <c r="J486" s="221"/>
      <c r="K486" s="261"/>
      <c r="L486" s="322"/>
      <c r="M486" s="323"/>
      <c r="N486" s="261"/>
      <c r="O486" s="261"/>
      <c r="P486" s="261"/>
      <c r="Q486" s="261"/>
      <c r="R486" s="261"/>
      <c r="S486" s="261"/>
      <c r="T486" s="261"/>
      <c r="U486" s="261"/>
      <c r="V486" s="261"/>
      <c r="W486" s="261"/>
      <c r="X486" s="261"/>
      <c r="Y486" s="261"/>
      <c r="Z486" s="261"/>
      <c r="AA486" s="261"/>
      <c r="AB486" s="261"/>
      <c r="AC486" s="261"/>
      <c r="AD486" s="261"/>
      <c r="AE486" s="261"/>
      <c r="AF486" s="261"/>
      <c r="AG486" s="261"/>
      <c r="AH486" s="261"/>
      <c r="AI486" s="261"/>
      <c r="AJ486" s="261"/>
      <c r="AK486" s="261"/>
    </row>
    <row r="487" spans="1:37" s="70" customFormat="1">
      <c r="F487" s="221"/>
      <c r="G487" s="221"/>
      <c r="H487" s="221"/>
      <c r="I487" s="221"/>
      <c r="J487" s="221"/>
      <c r="K487" s="261"/>
      <c r="L487" s="322"/>
      <c r="M487" s="323"/>
      <c r="N487" s="261"/>
      <c r="O487" s="261"/>
      <c r="P487" s="261"/>
      <c r="Q487" s="261"/>
      <c r="R487" s="261"/>
      <c r="S487" s="261"/>
      <c r="T487" s="261"/>
      <c r="U487" s="261"/>
      <c r="V487" s="261"/>
      <c r="W487" s="261"/>
      <c r="X487" s="261"/>
      <c r="Y487" s="261"/>
      <c r="Z487" s="261"/>
      <c r="AA487" s="261"/>
      <c r="AB487" s="261"/>
      <c r="AC487" s="261"/>
      <c r="AD487" s="261"/>
      <c r="AE487" s="261"/>
      <c r="AF487" s="261"/>
      <c r="AG487" s="261"/>
      <c r="AH487" s="261"/>
      <c r="AI487" s="261"/>
      <c r="AJ487" s="261"/>
      <c r="AK487" s="261"/>
    </row>
    <row r="488" spans="1:37" s="70" customFormat="1">
      <c r="A488" s="1215" t="s">
        <v>972</v>
      </c>
      <c r="B488" s="1216"/>
      <c r="C488" s="1216"/>
      <c r="D488" s="1216"/>
      <c r="E488" s="1216"/>
      <c r="F488" s="1216"/>
      <c r="G488" s="1216"/>
      <c r="H488" s="1217"/>
      <c r="I488" s="221"/>
      <c r="J488" s="221"/>
      <c r="K488" s="261"/>
      <c r="L488" s="322"/>
      <c r="M488" s="323"/>
      <c r="N488" s="261"/>
      <c r="O488" s="261"/>
      <c r="P488" s="261"/>
      <c r="Q488" s="261"/>
      <c r="R488" s="261"/>
      <c r="S488" s="261"/>
      <c r="T488" s="261"/>
      <c r="U488" s="261"/>
      <c r="V488" s="261"/>
      <c r="W488" s="261"/>
      <c r="X488" s="261"/>
      <c r="Y488" s="261"/>
      <c r="Z488" s="261"/>
      <c r="AA488" s="261"/>
      <c r="AB488" s="261"/>
      <c r="AC488" s="261"/>
      <c r="AD488" s="261"/>
      <c r="AE488" s="261"/>
      <c r="AF488" s="261"/>
      <c r="AG488" s="261"/>
      <c r="AH488" s="261"/>
      <c r="AI488" s="261"/>
      <c r="AJ488" s="261"/>
      <c r="AK488" s="261"/>
    </row>
    <row r="489" spans="1:37" s="70" customFormat="1">
      <c r="A489" s="1218"/>
      <c r="B489" s="1219"/>
      <c r="C489" s="1219"/>
      <c r="D489" s="1219"/>
      <c r="E489" s="1219"/>
      <c r="F489" s="1219"/>
      <c r="G489" s="1219"/>
      <c r="H489" s="1220"/>
      <c r="I489" s="221"/>
      <c r="J489" s="221"/>
      <c r="K489" s="261"/>
      <c r="L489" s="322"/>
      <c r="M489" s="323"/>
      <c r="N489" s="261"/>
      <c r="O489" s="261"/>
      <c r="P489" s="261"/>
      <c r="Q489" s="261"/>
      <c r="R489" s="261"/>
      <c r="S489" s="261"/>
      <c r="T489" s="261"/>
      <c r="U489" s="261"/>
      <c r="V489" s="261"/>
      <c r="W489" s="261"/>
      <c r="X489" s="261"/>
      <c r="Y489" s="261"/>
      <c r="Z489" s="261"/>
      <c r="AA489" s="261"/>
      <c r="AB489" s="261"/>
      <c r="AC489" s="261"/>
      <c r="AD489" s="261"/>
      <c r="AE489" s="261"/>
      <c r="AF489" s="261"/>
      <c r="AG489" s="261"/>
      <c r="AH489" s="261"/>
      <c r="AI489" s="261"/>
      <c r="AJ489" s="261"/>
      <c r="AK489" s="261"/>
    </row>
    <row r="490" spans="1:37" s="70" customFormat="1">
      <c r="A490" s="1218"/>
      <c r="B490" s="1219"/>
      <c r="C490" s="1219"/>
      <c r="D490" s="1219"/>
      <c r="E490" s="1219"/>
      <c r="F490" s="1219"/>
      <c r="G490" s="1219"/>
      <c r="H490" s="1220"/>
      <c r="I490" s="221"/>
      <c r="J490" s="221"/>
      <c r="K490" s="261"/>
      <c r="L490" s="322"/>
      <c r="M490" s="323"/>
      <c r="N490" s="261"/>
      <c r="O490" s="261"/>
      <c r="P490" s="261"/>
      <c r="Q490" s="261"/>
      <c r="R490" s="261"/>
      <c r="S490" s="261"/>
      <c r="T490" s="261"/>
      <c r="U490" s="261"/>
      <c r="V490" s="261"/>
      <c r="W490" s="261"/>
      <c r="X490" s="261"/>
      <c r="Y490" s="261"/>
      <c r="Z490" s="261"/>
      <c r="AA490" s="261"/>
      <c r="AB490" s="261"/>
      <c r="AC490" s="261"/>
      <c r="AD490" s="261"/>
      <c r="AE490" s="261"/>
      <c r="AF490" s="261"/>
      <c r="AG490" s="261"/>
      <c r="AH490" s="261"/>
      <c r="AI490" s="261"/>
      <c r="AJ490" s="261"/>
      <c r="AK490" s="261"/>
    </row>
    <row r="491" spans="1:37" s="70" customFormat="1">
      <c r="A491" s="1218"/>
      <c r="B491" s="1219"/>
      <c r="C491" s="1219"/>
      <c r="D491" s="1219"/>
      <c r="E491" s="1219"/>
      <c r="F491" s="1219"/>
      <c r="G491" s="1219"/>
      <c r="H491" s="1220"/>
      <c r="I491" s="221"/>
      <c r="J491" s="221"/>
      <c r="K491" s="261"/>
      <c r="L491" s="322"/>
      <c r="M491" s="323"/>
      <c r="N491" s="261"/>
      <c r="O491" s="261"/>
      <c r="P491" s="261"/>
      <c r="Q491" s="261"/>
      <c r="R491" s="261"/>
      <c r="S491" s="261"/>
      <c r="T491" s="261"/>
      <c r="U491" s="261"/>
      <c r="V491" s="261"/>
      <c r="W491" s="261"/>
      <c r="X491" s="261"/>
      <c r="Y491" s="261"/>
      <c r="Z491" s="261"/>
      <c r="AA491" s="261"/>
      <c r="AB491" s="261"/>
      <c r="AC491" s="261"/>
      <c r="AD491" s="261"/>
      <c r="AE491" s="261"/>
      <c r="AF491" s="261"/>
      <c r="AG491" s="261"/>
      <c r="AH491" s="261"/>
      <c r="AI491" s="261"/>
      <c r="AJ491" s="261"/>
      <c r="AK491" s="261"/>
    </row>
    <row r="492" spans="1:37" s="70" customFormat="1">
      <c r="A492" s="1221"/>
      <c r="B492" s="1222"/>
      <c r="C492" s="1222"/>
      <c r="D492" s="1222"/>
      <c r="E492" s="1222"/>
      <c r="F492" s="1222"/>
      <c r="G492" s="1222"/>
      <c r="H492" s="1223"/>
      <c r="I492" s="221"/>
      <c r="J492" s="221"/>
      <c r="K492" s="261"/>
      <c r="L492" s="322"/>
      <c r="M492" s="323"/>
      <c r="N492" s="261"/>
      <c r="O492" s="261"/>
      <c r="P492" s="261"/>
      <c r="Q492" s="261"/>
      <c r="R492" s="261"/>
      <c r="S492" s="261"/>
      <c r="T492" s="261"/>
      <c r="U492" s="261"/>
      <c r="V492" s="261"/>
      <c r="W492" s="261"/>
      <c r="X492" s="261"/>
      <c r="Y492" s="261"/>
      <c r="Z492" s="261"/>
      <c r="AA492" s="261"/>
      <c r="AB492" s="261"/>
      <c r="AC492" s="261"/>
      <c r="AD492" s="261"/>
      <c r="AE492" s="261"/>
      <c r="AF492" s="261"/>
      <c r="AG492" s="261"/>
      <c r="AH492" s="261"/>
      <c r="AI492" s="261"/>
      <c r="AJ492" s="261"/>
      <c r="AK492" s="261"/>
    </row>
    <row r="493" spans="1:37">
      <c r="L493" s="224"/>
    </row>
    <row r="494" spans="1:37">
      <c r="A494" s="87"/>
      <c r="B494" s="87"/>
      <c r="C494" s="87"/>
      <c r="D494" s="87"/>
      <c r="E494" s="87"/>
      <c r="F494" s="87"/>
      <c r="G494" s="87"/>
      <c r="H494" s="87"/>
      <c r="I494" s="87"/>
      <c r="J494" s="87"/>
    </row>
    <row r="495" spans="1:37">
      <c r="A495" s="1013" t="s">
        <v>331</v>
      </c>
      <c r="B495" s="1159"/>
      <c r="C495" s="1159"/>
      <c r="D495" s="1159"/>
      <c r="E495" s="1159"/>
      <c r="F495" s="1159"/>
      <c r="G495" s="1159"/>
      <c r="H495" s="1159"/>
      <c r="I495" s="1159"/>
      <c r="J495" s="1159"/>
    </row>
    <row r="496" spans="1:37">
      <c r="A496" s="1159"/>
      <c r="B496" s="1159"/>
      <c r="C496" s="1159"/>
      <c r="D496" s="1159"/>
      <c r="E496" s="1159"/>
      <c r="F496" s="1159"/>
      <c r="G496" s="1159"/>
      <c r="H496" s="1159"/>
      <c r="I496" s="1159"/>
      <c r="J496" s="1159"/>
    </row>
    <row r="497" spans="1:16">
      <c r="N497" s="85"/>
      <c r="O497" s="85"/>
      <c r="P497" s="85"/>
    </row>
    <row r="498" spans="1:16">
      <c r="A498" s="527" t="s">
        <v>973</v>
      </c>
      <c r="D498" s="357">
        <v>96815.996447426078</v>
      </c>
      <c r="E498" s="49" t="s">
        <v>262</v>
      </c>
      <c r="N498" s="85"/>
      <c r="O498" s="85"/>
      <c r="P498" s="85"/>
    </row>
    <row r="499" spans="1:16">
      <c r="A499" s="85" t="s">
        <v>958</v>
      </c>
      <c r="B499" s="85"/>
      <c r="C499" s="85"/>
      <c r="D499" s="357">
        <v>98172</v>
      </c>
      <c r="E499" s="49" t="s">
        <v>262</v>
      </c>
    </row>
    <row r="500" spans="1:16">
      <c r="A500" s="85" t="s">
        <v>328</v>
      </c>
      <c r="B500" s="85"/>
      <c r="C500" s="85"/>
      <c r="D500" s="357">
        <v>1.4028590446657588E-2</v>
      </c>
      <c r="E500" s="49" t="s">
        <v>116</v>
      </c>
      <c r="F500" s="358"/>
      <c r="G500" s="358"/>
      <c r="H500" s="358"/>
      <c r="I500" s="358"/>
      <c r="J500" s="358"/>
    </row>
    <row r="501" spans="1:16">
      <c r="A501" s="49" t="s">
        <v>380</v>
      </c>
      <c r="D501" s="357">
        <v>1.0016138676539013</v>
      </c>
      <c r="E501" s="49" t="s">
        <v>116</v>
      </c>
      <c r="F501" s="358"/>
      <c r="G501" s="358"/>
      <c r="H501" s="358"/>
      <c r="I501" s="358"/>
      <c r="J501" s="358"/>
    </row>
    <row r="502" spans="1:16">
      <c r="A502" s="87"/>
      <c r="B502" s="87"/>
      <c r="C502" s="87"/>
      <c r="D502" s="87"/>
      <c r="E502" s="87"/>
      <c r="F502" s="87"/>
      <c r="G502" s="87"/>
      <c r="H502" s="87"/>
      <c r="I502" s="87"/>
      <c r="J502" s="87"/>
    </row>
    <row r="503" spans="1:16">
      <c r="A503" s="1121" t="s">
        <v>974</v>
      </c>
      <c r="B503" s="1122"/>
      <c r="C503" s="1122"/>
      <c r="D503" s="1122"/>
      <c r="E503" s="1122"/>
      <c r="F503" s="1122"/>
      <c r="G503" s="1122"/>
      <c r="H503" s="1122"/>
      <c r="I503" s="1122"/>
      <c r="J503" s="1122"/>
    </row>
    <row r="504" spans="1:16">
      <c r="A504" s="1159"/>
      <c r="B504" s="1159"/>
      <c r="C504" s="1159"/>
      <c r="D504" s="1159"/>
      <c r="E504" s="1159"/>
      <c r="F504" s="1159"/>
      <c r="G504" s="1159"/>
      <c r="H504" s="1159"/>
      <c r="I504" s="1159"/>
      <c r="J504" s="1159"/>
    </row>
    <row r="505" spans="1:16">
      <c r="A505" s="1159"/>
      <c r="B505" s="1159"/>
      <c r="C505" s="1159"/>
      <c r="D505" s="1159"/>
      <c r="E505" s="1159"/>
      <c r="F505" s="1159"/>
      <c r="G505" s="1159"/>
      <c r="H505" s="1159"/>
      <c r="I505" s="1159"/>
      <c r="J505" s="1159"/>
    </row>
    <row r="506" spans="1:16" ht="12" customHeight="1">
      <c r="A506" s="1159"/>
      <c r="B506" s="1159"/>
      <c r="C506" s="1159"/>
      <c r="D506" s="1159"/>
      <c r="E506" s="1159"/>
      <c r="F506" s="1159"/>
      <c r="G506" s="1159"/>
      <c r="H506" s="1159"/>
      <c r="I506" s="1159"/>
      <c r="J506" s="1159"/>
    </row>
    <row r="507" spans="1:16">
      <c r="A507" s="359" t="s">
        <v>333</v>
      </c>
      <c r="B507" s="359"/>
      <c r="C507" s="359"/>
      <c r="D507" s="359"/>
      <c r="E507" s="359"/>
      <c r="F507" s="359"/>
      <c r="G507" s="359"/>
      <c r="H507" s="359"/>
      <c r="I507" s="359"/>
      <c r="J507" s="359"/>
    </row>
    <row r="508" spans="1:16" ht="15" customHeight="1">
      <c r="A508" s="1121" t="s">
        <v>332</v>
      </c>
      <c r="B508" s="1122"/>
      <c r="C508" s="1122"/>
      <c r="D508" s="1122"/>
      <c r="E508" s="1122"/>
      <c r="F508" s="1122"/>
      <c r="G508" s="1122"/>
      <c r="H508" s="1122"/>
      <c r="I508" s="1122"/>
      <c r="J508" s="1122"/>
    </row>
    <row r="509" spans="1:16">
      <c r="A509" s="1159"/>
      <c r="B509" s="1159"/>
      <c r="C509" s="1159"/>
      <c r="D509" s="1159"/>
      <c r="E509" s="1159"/>
      <c r="F509" s="1159"/>
      <c r="G509" s="1159"/>
      <c r="H509" s="1159"/>
      <c r="I509" s="1159"/>
      <c r="J509" s="1159"/>
    </row>
    <row r="510" spans="1:16" ht="15" customHeight="1">
      <c r="A510" s="1227" t="s">
        <v>975</v>
      </c>
      <c r="B510" s="1228"/>
      <c r="C510" s="1228"/>
      <c r="D510" s="1228"/>
      <c r="E510" s="1228"/>
      <c r="F510" s="1228"/>
      <c r="G510" s="1228"/>
      <c r="H510" s="1228"/>
      <c r="I510" s="1228"/>
      <c r="J510" s="1228"/>
    </row>
    <row r="511" spans="1:16">
      <c r="A511" s="1228"/>
      <c r="B511" s="1228"/>
      <c r="C511" s="1228"/>
      <c r="D511" s="1228"/>
      <c r="E511" s="1228"/>
      <c r="F511" s="1228"/>
      <c r="G511" s="1228"/>
      <c r="H511" s="1228"/>
      <c r="I511" s="1228"/>
      <c r="J511" s="1228"/>
    </row>
    <row r="512" spans="1:16">
      <c r="A512" s="1228"/>
      <c r="B512" s="1228"/>
      <c r="C512" s="1228"/>
      <c r="D512" s="1228"/>
      <c r="E512" s="1228"/>
      <c r="F512" s="1228"/>
      <c r="G512" s="1228"/>
      <c r="H512" s="1228"/>
      <c r="I512" s="1228"/>
      <c r="J512" s="1228"/>
    </row>
    <row r="513" spans="1:10">
      <c r="A513" s="1228"/>
      <c r="B513" s="1228"/>
      <c r="C513" s="1228"/>
      <c r="D513" s="1228"/>
      <c r="E513" s="1228"/>
      <c r="F513" s="1228"/>
      <c r="G513" s="1228"/>
      <c r="H513" s="1228"/>
      <c r="I513" s="1228"/>
      <c r="J513" s="1228"/>
    </row>
    <row r="514" spans="1:10">
      <c r="A514" s="1228"/>
      <c r="B514" s="1228"/>
      <c r="C514" s="1228"/>
      <c r="D514" s="1228"/>
      <c r="E514" s="1228"/>
      <c r="F514" s="1228"/>
      <c r="G514" s="1228"/>
      <c r="H514" s="1228"/>
      <c r="I514" s="1228"/>
      <c r="J514" s="1228"/>
    </row>
    <row r="515" spans="1:10" ht="14.1" customHeight="1">
      <c r="A515" s="1228"/>
      <c r="B515" s="1228"/>
      <c r="C515" s="1228"/>
      <c r="D515" s="1228"/>
      <c r="E515" s="1228"/>
      <c r="F515" s="1228"/>
      <c r="G515" s="1228"/>
      <c r="H515" s="1228"/>
      <c r="I515" s="1228"/>
      <c r="J515" s="1228"/>
    </row>
    <row r="516" spans="1:10">
      <c r="A516" s="1231"/>
      <c r="B516" s="1231"/>
      <c r="C516" s="1231"/>
      <c r="D516" s="1231"/>
      <c r="E516" s="1231"/>
      <c r="F516" s="1231"/>
      <c r="G516" s="1231"/>
      <c r="H516" s="1231"/>
      <c r="I516" s="1231"/>
      <c r="J516" s="1231"/>
    </row>
    <row r="517" spans="1:10">
      <c r="A517" s="1121" t="s">
        <v>976</v>
      </c>
      <c r="B517" s="1122"/>
      <c r="C517" s="1122"/>
      <c r="D517" s="1122"/>
      <c r="E517" s="1122"/>
      <c r="F517" s="1122"/>
      <c r="G517" s="1122"/>
      <c r="H517" s="1122"/>
      <c r="I517" s="1122"/>
      <c r="J517" s="1122"/>
    </row>
    <row r="518" spans="1:10">
      <c r="A518" s="1159"/>
      <c r="B518" s="1159"/>
      <c r="C518" s="1159"/>
      <c r="D518" s="1159"/>
      <c r="E518" s="1159"/>
      <c r="F518" s="1159"/>
      <c r="G518" s="1159"/>
      <c r="H518" s="1159"/>
      <c r="I518" s="1159"/>
      <c r="J518" s="1159"/>
    </row>
    <row r="519" spans="1:10">
      <c r="A519" s="1159"/>
      <c r="B519" s="1159"/>
      <c r="C519" s="1159"/>
      <c r="D519" s="1159"/>
      <c r="E519" s="1159"/>
      <c r="F519" s="1159"/>
      <c r="G519" s="1159"/>
      <c r="H519" s="1159"/>
      <c r="I519" s="1159"/>
      <c r="J519" s="1159"/>
    </row>
    <row r="520" spans="1:10" ht="15" customHeight="1">
      <c r="A520" s="1229" t="s">
        <v>977</v>
      </c>
      <c r="B520" s="1230"/>
      <c r="C520" s="1230"/>
      <c r="D520" s="1230"/>
      <c r="E520" s="1230"/>
      <c r="F520" s="1230"/>
      <c r="G520" s="1230"/>
      <c r="H520" s="1230"/>
      <c r="I520" s="1230"/>
      <c r="J520" s="1230"/>
    </row>
    <row r="521" spans="1:10">
      <c r="A521" s="1230"/>
      <c r="B521" s="1230"/>
      <c r="C521" s="1230"/>
      <c r="D521" s="1230"/>
      <c r="E521" s="1230"/>
      <c r="F521" s="1230"/>
      <c r="G521" s="1230"/>
      <c r="H521" s="1230"/>
      <c r="I521" s="1230"/>
      <c r="J521" s="1230"/>
    </row>
    <row r="522" spans="1:10">
      <c r="A522" s="1230"/>
      <c r="B522" s="1230"/>
      <c r="C522" s="1230"/>
      <c r="D522" s="1230"/>
      <c r="E522" s="1230"/>
      <c r="F522" s="1230"/>
      <c r="G522" s="1230"/>
      <c r="H522" s="1230"/>
      <c r="I522" s="1230"/>
      <c r="J522" s="1230"/>
    </row>
    <row r="523" spans="1:10">
      <c r="A523" s="1230"/>
      <c r="B523" s="1230"/>
      <c r="C523" s="1230"/>
      <c r="D523" s="1230"/>
      <c r="E523" s="1230"/>
      <c r="F523" s="1230"/>
      <c r="G523" s="1230"/>
      <c r="H523" s="1230"/>
      <c r="I523" s="1230"/>
      <c r="J523" s="1230"/>
    </row>
    <row r="524" spans="1:10">
      <c r="A524" s="1230"/>
      <c r="B524" s="1230"/>
      <c r="C524" s="1230"/>
      <c r="D524" s="1230"/>
      <c r="E524" s="1230"/>
      <c r="F524" s="1230"/>
      <c r="G524" s="1230"/>
      <c r="H524" s="1230"/>
      <c r="I524" s="1230"/>
      <c r="J524" s="1230"/>
    </row>
    <row r="525" spans="1:10">
      <c r="A525" s="1231"/>
      <c r="B525" s="1231"/>
      <c r="C525" s="1231"/>
      <c r="D525" s="1231"/>
      <c r="E525" s="1231"/>
      <c r="F525" s="1231"/>
      <c r="G525" s="1231"/>
      <c r="H525" s="1231"/>
      <c r="I525" s="1231"/>
      <c r="J525" s="1231"/>
    </row>
    <row r="526" spans="1:10">
      <c r="A526" s="1232" t="s">
        <v>911</v>
      </c>
      <c r="B526" s="1100"/>
      <c r="C526" s="1100"/>
      <c r="D526" s="1100"/>
      <c r="E526" s="1100"/>
      <c r="F526" s="1100"/>
      <c r="G526" s="1100"/>
      <c r="H526" s="1100"/>
      <c r="I526" s="1100"/>
      <c r="J526" s="1100"/>
    </row>
    <row r="527" spans="1:10">
      <c r="A527" s="1101"/>
      <c r="B527" s="1101"/>
      <c r="C527" s="1101"/>
      <c r="D527" s="1101"/>
      <c r="E527" s="1101"/>
      <c r="F527" s="1101"/>
      <c r="G527" s="1101"/>
      <c r="H527" s="1101"/>
      <c r="I527" s="1101"/>
      <c r="J527" s="1101"/>
    </row>
    <row r="528" spans="1:10">
      <c r="A528" s="87" t="s">
        <v>334</v>
      </c>
      <c r="B528" s="87"/>
      <c r="C528" s="87"/>
      <c r="D528" s="87"/>
      <c r="E528" s="87"/>
      <c r="F528" s="87"/>
      <c r="G528" s="87"/>
      <c r="H528" s="87"/>
      <c r="I528" s="87"/>
      <c r="J528" s="87"/>
    </row>
    <row r="529" spans="1:16">
      <c r="A529" s="1099" t="s">
        <v>978</v>
      </c>
      <c r="B529" s="1100"/>
      <c r="C529" s="1100"/>
      <c r="D529" s="1100"/>
      <c r="E529" s="1100"/>
      <c r="F529" s="1100"/>
      <c r="G529" s="1100"/>
      <c r="H529" s="1100"/>
      <c r="I529" s="1100"/>
      <c r="J529" s="1100"/>
    </row>
    <row r="530" spans="1:16">
      <c r="A530" s="1183"/>
      <c r="B530" s="1183"/>
      <c r="C530" s="1183"/>
      <c r="D530" s="1183"/>
      <c r="E530" s="1183"/>
      <c r="F530" s="1183"/>
      <c r="G530" s="1183"/>
      <c r="H530" s="1183"/>
      <c r="I530" s="1183"/>
      <c r="J530" s="1183"/>
    </row>
    <row r="531" spans="1:16" ht="15" customHeight="1">
      <c r="A531" s="1227" t="s">
        <v>981</v>
      </c>
      <c r="B531" s="1228"/>
      <c r="C531" s="1228"/>
      <c r="D531" s="1228"/>
      <c r="E531" s="1228"/>
      <c r="F531" s="1228"/>
      <c r="G531" s="1228"/>
      <c r="H531" s="1228"/>
      <c r="I531" s="1228"/>
      <c r="J531" s="1228"/>
    </row>
    <row r="532" spans="1:16">
      <c r="A532" s="1228"/>
      <c r="B532" s="1228"/>
      <c r="C532" s="1228"/>
      <c r="D532" s="1228"/>
      <c r="E532" s="1228"/>
      <c r="F532" s="1228"/>
      <c r="G532" s="1228"/>
      <c r="H532" s="1228"/>
      <c r="I532" s="1228"/>
      <c r="J532" s="1228"/>
    </row>
    <row r="533" spans="1:16">
      <c r="A533" s="1228"/>
      <c r="B533" s="1228"/>
      <c r="C533" s="1228"/>
      <c r="D533" s="1228"/>
      <c r="E533" s="1228"/>
      <c r="F533" s="1228"/>
      <c r="G533" s="1228"/>
      <c r="H533" s="1228"/>
      <c r="I533" s="1228"/>
      <c r="J533" s="1228"/>
    </row>
    <row r="534" spans="1:16">
      <c r="A534" s="1013" t="s">
        <v>979</v>
      </c>
      <c r="B534" s="1159"/>
      <c r="C534" s="1159"/>
      <c r="D534" s="1159"/>
      <c r="E534" s="1159"/>
      <c r="F534" s="1159"/>
      <c r="G534" s="1159"/>
      <c r="H534" s="1159"/>
      <c r="I534" s="1159"/>
      <c r="J534" s="1159"/>
    </row>
    <row r="535" spans="1:16">
      <c r="A535" s="1159"/>
      <c r="B535" s="1159"/>
      <c r="C535" s="1159"/>
      <c r="D535" s="1159"/>
      <c r="E535" s="1159"/>
      <c r="F535" s="1159"/>
      <c r="G535" s="1159"/>
      <c r="H535" s="1159"/>
      <c r="I535" s="1159"/>
      <c r="J535" s="1159"/>
    </row>
    <row r="536" spans="1:16" ht="15" customHeight="1">
      <c r="A536" s="1227" t="s">
        <v>980</v>
      </c>
      <c r="B536" s="1228"/>
      <c r="C536" s="1228"/>
      <c r="D536" s="1228"/>
      <c r="E536" s="1228"/>
      <c r="F536" s="1228"/>
      <c r="G536" s="1228"/>
      <c r="H536" s="1228"/>
      <c r="I536" s="1228"/>
      <c r="J536" s="1228"/>
    </row>
    <row r="537" spans="1:16">
      <c r="A537" s="1228"/>
      <c r="B537" s="1228"/>
      <c r="C537" s="1228"/>
      <c r="D537" s="1228"/>
      <c r="E537" s="1228"/>
      <c r="F537" s="1228"/>
      <c r="G537" s="1228"/>
      <c r="H537" s="1228"/>
      <c r="I537" s="1228"/>
      <c r="J537" s="1228"/>
    </row>
    <row r="538" spans="1:16" s="85" customFormat="1">
      <c r="A538" s="1228"/>
      <c r="B538" s="1228"/>
      <c r="C538" s="1228"/>
      <c r="D538" s="1228"/>
      <c r="E538" s="1228"/>
      <c r="F538" s="1228"/>
      <c r="G538" s="1228"/>
      <c r="H538" s="1228"/>
      <c r="I538" s="1228"/>
      <c r="J538" s="1228"/>
      <c r="N538" s="2"/>
      <c r="O538" s="2"/>
      <c r="P538" s="2"/>
    </row>
    <row r="539" spans="1:16" s="85" customFormat="1">
      <c r="A539" s="1228"/>
      <c r="B539" s="1228"/>
      <c r="C539" s="1228"/>
      <c r="D539" s="1228"/>
      <c r="E539" s="1228"/>
      <c r="F539" s="1228"/>
      <c r="G539" s="1228"/>
      <c r="H539" s="1228"/>
      <c r="I539" s="1228"/>
      <c r="J539" s="1228"/>
      <c r="N539" s="2"/>
      <c r="O539" s="2"/>
      <c r="P539" s="2"/>
    </row>
    <row r="540" spans="1:16">
      <c r="A540" s="1228"/>
      <c r="B540" s="1228"/>
      <c r="C540" s="1228"/>
      <c r="D540" s="1228"/>
      <c r="E540" s="1228"/>
      <c r="F540" s="1228"/>
      <c r="G540" s="1228"/>
      <c r="H540" s="1228"/>
      <c r="I540" s="1228"/>
      <c r="J540" s="1228"/>
    </row>
    <row r="541" spans="1:16">
      <c r="A541" s="1228"/>
      <c r="B541" s="1228"/>
      <c r="C541" s="1228"/>
      <c r="D541" s="1228"/>
      <c r="E541" s="1228"/>
      <c r="F541" s="1228"/>
      <c r="G541" s="1228"/>
      <c r="H541" s="1228"/>
      <c r="I541" s="1228"/>
      <c r="J541" s="1228"/>
    </row>
    <row r="542" spans="1:16">
      <c r="A542" s="1228"/>
      <c r="B542" s="1228"/>
      <c r="C542" s="1228"/>
      <c r="D542" s="1228"/>
      <c r="E542" s="1228"/>
      <c r="F542" s="1228"/>
      <c r="G542" s="1228"/>
      <c r="H542" s="1228"/>
      <c r="I542" s="1228"/>
      <c r="J542" s="1228"/>
    </row>
    <row r="543" spans="1:16">
      <c r="A543" s="1228"/>
      <c r="B543" s="1228"/>
      <c r="C543" s="1228"/>
      <c r="D543" s="1228"/>
      <c r="E543" s="1228"/>
      <c r="F543" s="1228"/>
      <c r="G543" s="1228"/>
      <c r="H543" s="1228"/>
      <c r="I543" s="1228"/>
      <c r="J543" s="1228"/>
    </row>
    <row r="544" spans="1:16">
      <c r="A544" s="1228"/>
      <c r="B544" s="1228"/>
      <c r="C544" s="1228"/>
      <c r="D544" s="1228"/>
      <c r="E544" s="1228"/>
      <c r="F544" s="1228"/>
      <c r="G544" s="1228"/>
      <c r="H544" s="1228"/>
      <c r="I544" s="1228"/>
      <c r="J544" s="1228"/>
    </row>
    <row r="545" spans="1:10">
      <c r="A545" s="1228"/>
      <c r="B545" s="1228"/>
      <c r="C545" s="1228"/>
      <c r="D545" s="1228"/>
      <c r="E545" s="1228"/>
      <c r="F545" s="1228"/>
      <c r="G545" s="1228"/>
      <c r="H545" s="1228"/>
      <c r="I545" s="1228"/>
      <c r="J545" s="1228"/>
    </row>
  </sheetData>
  <mergeCells count="184">
    <mergeCell ref="D239:E239"/>
    <mergeCell ref="D240:E240"/>
    <mergeCell ref="M335:M336"/>
    <mergeCell ref="B385:D385"/>
    <mergeCell ref="B386:D386"/>
    <mergeCell ref="B454:D454"/>
    <mergeCell ref="A453:C453"/>
    <mergeCell ref="G408:K409"/>
    <mergeCell ref="G432:K433"/>
    <mergeCell ref="B387:D387"/>
    <mergeCell ref="A394:C394"/>
    <mergeCell ref="A395:C395"/>
    <mergeCell ref="B388:D388"/>
    <mergeCell ref="B389:D389"/>
    <mergeCell ref="G406:K407"/>
    <mergeCell ref="A423:C423"/>
    <mergeCell ref="A424:C424"/>
    <mergeCell ref="A425:C425"/>
    <mergeCell ref="A421:C421"/>
    <mergeCell ref="A420:C420"/>
    <mergeCell ref="A410:J415"/>
    <mergeCell ref="G417:K417"/>
    <mergeCell ref="B392:D392"/>
    <mergeCell ref="B379:D379"/>
    <mergeCell ref="X335:AB335"/>
    <mergeCell ref="L335:L336"/>
    <mergeCell ref="G63:H63"/>
    <mergeCell ref="A438:J439"/>
    <mergeCell ref="A397:C397"/>
    <mergeCell ref="A396:C396"/>
    <mergeCell ref="A400:C400"/>
    <mergeCell ref="A401:C401"/>
    <mergeCell ref="B74:C74"/>
    <mergeCell ref="H74:I74"/>
    <mergeCell ref="A72:K72"/>
    <mergeCell ref="A402:C402"/>
    <mergeCell ref="F375:H375"/>
    <mergeCell ref="F376:H376"/>
    <mergeCell ref="A224:I225"/>
    <mergeCell ref="K335:K336"/>
    <mergeCell ref="A68:B68"/>
    <mergeCell ref="A69:B69"/>
    <mergeCell ref="C65:D65"/>
    <mergeCell ref="B239:C239"/>
    <mergeCell ref="B240:C240"/>
    <mergeCell ref="D236:E236"/>
    <mergeCell ref="D237:E237"/>
    <mergeCell ref="D238:E238"/>
    <mergeCell ref="A177:J179"/>
    <mergeCell ref="G192:I192"/>
    <mergeCell ref="U334:AC334"/>
    <mergeCell ref="B238:C238"/>
    <mergeCell ref="F236:G236"/>
    <mergeCell ref="F237:G237"/>
    <mergeCell ref="F238:G238"/>
    <mergeCell ref="F239:G239"/>
    <mergeCell ref="F240:G240"/>
    <mergeCell ref="A325:I326"/>
    <mergeCell ref="A334:J342"/>
    <mergeCell ref="A314:J316"/>
    <mergeCell ref="A317:I324"/>
    <mergeCell ref="E308:F308"/>
    <mergeCell ref="E309:F309"/>
    <mergeCell ref="E310:F310"/>
    <mergeCell ref="E311:F311"/>
    <mergeCell ref="E312:F312"/>
    <mergeCell ref="U335:U336"/>
    <mergeCell ref="M305:M306"/>
    <mergeCell ref="L305:L306"/>
    <mergeCell ref="K305:K306"/>
    <mergeCell ref="V335:V336"/>
    <mergeCell ref="W335:W336"/>
    <mergeCell ref="G197:H197"/>
    <mergeCell ref="A197:B197"/>
    <mergeCell ref="A201:I201"/>
    <mergeCell ref="A210:I214"/>
    <mergeCell ref="A216:I221"/>
    <mergeCell ref="A229:I233"/>
    <mergeCell ref="B236:C236"/>
    <mergeCell ref="B237:C237"/>
    <mergeCell ref="A180:J187"/>
    <mergeCell ref="A192:C192"/>
    <mergeCell ref="B235:G235"/>
    <mergeCell ref="A2:J2"/>
    <mergeCell ref="A3:J8"/>
    <mergeCell ref="A28:J35"/>
    <mergeCell ref="A37:J38"/>
    <mergeCell ref="A39:J49"/>
    <mergeCell ref="D14:E14"/>
    <mergeCell ref="D19:E19"/>
    <mergeCell ref="D24:E24"/>
    <mergeCell ref="B10:C10"/>
    <mergeCell ref="A12:F12"/>
    <mergeCell ref="A17:F17"/>
    <mergeCell ref="A22:F22"/>
    <mergeCell ref="E60:F60"/>
    <mergeCell ref="A51:J57"/>
    <mergeCell ref="C60:D60"/>
    <mergeCell ref="C59:H59"/>
    <mergeCell ref="G60:H60"/>
    <mergeCell ref="D106:E106"/>
    <mergeCell ref="J106:K106"/>
    <mergeCell ref="D86:E86"/>
    <mergeCell ref="D87:E87"/>
    <mergeCell ref="J86:K86"/>
    <mergeCell ref="J87:K87"/>
    <mergeCell ref="G89:I89"/>
    <mergeCell ref="J89:K89"/>
    <mergeCell ref="A91:K91"/>
    <mergeCell ref="B93:C93"/>
    <mergeCell ref="H93:I93"/>
    <mergeCell ref="D105:E105"/>
    <mergeCell ref="J105:K105"/>
    <mergeCell ref="C61:D61"/>
    <mergeCell ref="C62:D62"/>
    <mergeCell ref="C63:D63"/>
    <mergeCell ref="C64:D64"/>
    <mergeCell ref="A70:B70"/>
    <mergeCell ref="A67:D67"/>
    <mergeCell ref="C244:G244"/>
    <mergeCell ref="A254:D255"/>
    <mergeCell ref="A246:I252"/>
    <mergeCell ref="E306:F306"/>
    <mergeCell ref="E307:F307"/>
    <mergeCell ref="B376:D376"/>
    <mergeCell ref="B377:D377"/>
    <mergeCell ref="B378:D378"/>
    <mergeCell ref="J108:K108"/>
    <mergeCell ref="A110:K110"/>
    <mergeCell ref="B112:C112"/>
    <mergeCell ref="H112:I112"/>
    <mergeCell ref="D124:E124"/>
    <mergeCell ref="J124:K124"/>
    <mergeCell ref="D125:E125"/>
    <mergeCell ref="J125:K125"/>
    <mergeCell ref="G127:I127"/>
    <mergeCell ref="J127:K127"/>
    <mergeCell ref="G108:I108"/>
    <mergeCell ref="A155:J156"/>
    <mergeCell ref="A170:J175"/>
    <mergeCell ref="F377:H377"/>
    <mergeCell ref="F378:H378"/>
    <mergeCell ref="A130:J136"/>
    <mergeCell ref="B382:D382"/>
    <mergeCell ref="B383:D383"/>
    <mergeCell ref="A299:J304"/>
    <mergeCell ref="A370:J371"/>
    <mergeCell ref="B373:D373"/>
    <mergeCell ref="B374:D374"/>
    <mergeCell ref="F373:H373"/>
    <mergeCell ref="F374:H374"/>
    <mergeCell ref="B375:D375"/>
    <mergeCell ref="F379:H379"/>
    <mergeCell ref="F380:H380"/>
    <mergeCell ref="F381:H381"/>
    <mergeCell ref="B380:D380"/>
    <mergeCell ref="B381:D381"/>
    <mergeCell ref="B384:D384"/>
    <mergeCell ref="B390:D390"/>
    <mergeCell ref="B391:D391"/>
    <mergeCell ref="G394:K394"/>
    <mergeCell ref="A441:C441"/>
    <mergeCell ref="E442:G442"/>
    <mergeCell ref="E454:G454"/>
    <mergeCell ref="B442:D442"/>
    <mergeCell ref="I445:K445"/>
    <mergeCell ref="A534:J535"/>
    <mergeCell ref="A536:J545"/>
    <mergeCell ref="A503:J506"/>
    <mergeCell ref="A508:J509"/>
    <mergeCell ref="A517:J519"/>
    <mergeCell ref="A520:J525"/>
    <mergeCell ref="A526:J527"/>
    <mergeCell ref="A529:J530"/>
    <mergeCell ref="A510:J516"/>
    <mergeCell ref="A495:J496"/>
    <mergeCell ref="A403:C403"/>
    <mergeCell ref="A417:C417"/>
    <mergeCell ref="A418:C418"/>
    <mergeCell ref="A419:C419"/>
    <mergeCell ref="A435:J436"/>
    <mergeCell ref="A488:H492"/>
    <mergeCell ref="G429:K431"/>
    <mergeCell ref="A531:J533"/>
  </mergeCells>
  <pageMargins left="0.511811024" right="0.511811024" top="0.78740157499999996" bottom="0.78740157499999996" header="0.31496062000000002" footer="0.31496062000000002"/>
  <pageSetup paperSize="9" orientation="portrait" r:id="rId1"/>
  <drawing r:id="rId2"/>
  <legacyDrawing r:id="rId3"/>
  <oleObjects>
    <mc:AlternateContent xmlns:mc="http://schemas.openxmlformats.org/markup-compatibility/2006">
      <mc:Choice Requires="x14">
        <oleObject progId="Equation.3" shapeId="2049" r:id="rId4">
          <objectPr defaultSize="0" autoPict="0" r:id="rId5">
            <anchor moveWithCells="1" sizeWithCells="1">
              <from>
                <xdr:col>1</xdr:col>
                <xdr:colOff>85725</xdr:colOff>
                <xdr:row>141</xdr:row>
                <xdr:rowOff>0</xdr:rowOff>
              </from>
              <to>
                <xdr:col>8</xdr:col>
                <xdr:colOff>447675</xdr:colOff>
                <xdr:row>142</xdr:row>
                <xdr:rowOff>0</xdr:rowOff>
              </to>
            </anchor>
          </objectPr>
        </oleObject>
      </mc:Choice>
      <mc:Fallback>
        <oleObject progId="Equation.3" shapeId="2049" r:id="rId4"/>
      </mc:Fallback>
    </mc:AlternateContent>
    <mc:AlternateContent xmlns:mc="http://schemas.openxmlformats.org/markup-compatibility/2006">
      <mc:Choice Requires="x14">
        <oleObject progId="Equation.3" shapeId="2050" r:id="rId6">
          <objectPr defaultSize="0" autoPict="0" r:id="rId7">
            <anchor moveWithCells="1" sizeWithCells="1">
              <from>
                <xdr:col>1</xdr:col>
                <xdr:colOff>104775</xdr:colOff>
                <xdr:row>145</xdr:row>
                <xdr:rowOff>0</xdr:rowOff>
              </from>
              <to>
                <xdr:col>4</xdr:col>
                <xdr:colOff>114300</xdr:colOff>
                <xdr:row>146</xdr:row>
                <xdr:rowOff>9525</xdr:rowOff>
              </to>
            </anchor>
          </objectPr>
        </oleObject>
      </mc:Choice>
      <mc:Fallback>
        <oleObject progId="Equation.3" shapeId="2050" r:id="rId6"/>
      </mc:Fallback>
    </mc:AlternateContent>
  </oleObjec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A1:AS570"/>
  <sheetViews>
    <sheetView zoomScale="70" zoomScaleNormal="70" workbookViewId="0">
      <selection activeCell="L48" sqref="L48"/>
    </sheetView>
  </sheetViews>
  <sheetFormatPr defaultColWidth="8.85546875" defaultRowHeight="15"/>
  <cols>
    <col min="1" max="1" width="14.28515625" style="49" customWidth="1"/>
    <col min="2" max="2" width="23.5703125" style="49" customWidth="1"/>
    <col min="3" max="3" width="16.42578125" style="49" customWidth="1"/>
    <col min="4" max="4" width="15.5703125" style="49" customWidth="1"/>
    <col min="5" max="5" width="20.5703125" style="49" customWidth="1"/>
    <col min="6" max="6" width="21.7109375" style="49" customWidth="1"/>
    <col min="7" max="7" width="20.140625" style="49" customWidth="1"/>
    <col min="8" max="8" width="16" style="49" customWidth="1"/>
    <col min="9" max="9" width="20.5703125" style="49" customWidth="1"/>
    <col min="10" max="10" width="23.7109375" style="49" customWidth="1"/>
    <col min="11" max="11" width="24.42578125" style="49" customWidth="1"/>
    <col min="12" max="12" width="18.140625" style="49" customWidth="1"/>
    <col min="13" max="13" width="19.5703125" style="49" customWidth="1"/>
    <col min="14" max="14" width="13.42578125" style="49" customWidth="1"/>
    <col min="15" max="15" width="14.7109375" style="49" customWidth="1"/>
    <col min="16" max="16" width="16.28515625" style="49" customWidth="1"/>
    <col min="17" max="19" width="8.85546875" style="49" customWidth="1"/>
    <col min="20" max="21" width="14.28515625" style="49" customWidth="1"/>
    <col min="22" max="22" width="15.140625" style="49" customWidth="1"/>
    <col min="23" max="23" width="16.42578125" style="49" customWidth="1"/>
    <col min="24" max="25" width="8.85546875" style="49" customWidth="1"/>
    <col min="26" max="26" width="9.85546875" style="49" customWidth="1"/>
    <col min="27" max="28" width="13.5703125" style="49" customWidth="1"/>
    <col min="29" max="29" width="14.7109375" style="49" customWidth="1"/>
    <col min="30" max="30" width="16" style="49" customWidth="1"/>
    <col min="31" max="32" width="8.85546875" style="49" customWidth="1"/>
    <col min="33" max="33" width="10.140625" style="49" customWidth="1"/>
    <col min="34" max="34" width="13.5703125" style="49" customWidth="1"/>
    <col min="35" max="35" width="14.140625" style="49" customWidth="1"/>
    <col min="36" max="36" width="14.7109375" style="49" customWidth="1"/>
    <col min="37" max="37" width="15.85546875" style="49" customWidth="1"/>
    <col min="38" max="38" width="8.85546875" style="49" customWidth="1"/>
    <col min="39" max="39" width="8.85546875" style="49"/>
    <col min="40" max="40" width="10.28515625" style="49" customWidth="1"/>
    <col min="41" max="41" width="14.28515625" style="49" customWidth="1"/>
    <col min="42" max="42" width="15.140625" style="49" customWidth="1"/>
    <col min="43" max="43" width="15.5703125" style="49" customWidth="1"/>
    <col min="44" max="44" width="16.140625" style="49" customWidth="1"/>
    <col min="45" max="16384" width="8.85546875" style="49"/>
  </cols>
  <sheetData>
    <row r="1" spans="1:11" ht="32.25" customHeight="1">
      <c r="A1" s="46"/>
      <c r="B1" s="47"/>
      <c r="C1" s="47"/>
      <c r="D1" s="48"/>
      <c r="E1" s="48"/>
      <c r="F1" s="48"/>
      <c r="G1" s="48"/>
      <c r="H1" s="48"/>
      <c r="I1" s="48"/>
      <c r="J1" s="48"/>
    </row>
    <row r="2" spans="1:11" ht="36.75" thickBot="1">
      <c r="A2" s="1118" t="s">
        <v>335</v>
      </c>
      <c r="B2" s="1118"/>
      <c r="C2" s="1118"/>
      <c r="D2" s="1118"/>
      <c r="E2" s="1118"/>
      <c r="F2" s="1118"/>
      <c r="G2" s="1118"/>
      <c r="H2" s="1118"/>
      <c r="I2" s="1118"/>
      <c r="J2" s="1118"/>
    </row>
    <row r="3" spans="1:11" ht="15" customHeight="1">
      <c r="A3" s="1403" t="s">
        <v>1001</v>
      </c>
      <c r="B3" s="1404"/>
      <c r="C3" s="1404"/>
      <c r="D3" s="1404"/>
      <c r="E3" s="1404"/>
      <c r="F3" s="1404"/>
      <c r="G3" s="1404"/>
      <c r="H3" s="1404"/>
      <c r="I3" s="1404"/>
      <c r="J3" s="1404"/>
    </row>
    <row r="4" spans="1:11">
      <c r="A4" s="1123"/>
      <c r="B4" s="1123"/>
      <c r="C4" s="1123"/>
      <c r="D4" s="1123"/>
      <c r="E4" s="1123"/>
      <c r="F4" s="1123"/>
      <c r="G4" s="1123"/>
      <c r="H4" s="1123"/>
      <c r="I4" s="1123"/>
      <c r="J4" s="1123"/>
    </row>
    <row r="5" spans="1:11">
      <c r="A5" s="1123"/>
      <c r="B5" s="1123"/>
      <c r="C5" s="1123"/>
      <c r="D5" s="1123"/>
      <c r="E5" s="1123"/>
      <c r="F5" s="1123"/>
      <c r="G5" s="1123"/>
      <c r="H5" s="1123"/>
      <c r="I5" s="1123"/>
      <c r="J5" s="1123"/>
    </row>
    <row r="6" spans="1:11">
      <c r="A6" s="1123"/>
      <c r="B6" s="1123"/>
      <c r="C6" s="1123"/>
      <c r="D6" s="1123"/>
      <c r="E6" s="1123"/>
      <c r="F6" s="1123"/>
      <c r="G6" s="1123"/>
      <c r="H6" s="1123"/>
      <c r="I6" s="1123"/>
      <c r="J6" s="1123"/>
    </row>
    <row r="8" spans="1:11">
      <c r="A8" s="56" t="s">
        <v>336</v>
      </c>
      <c r="B8" s="49">
        <v>2017</v>
      </c>
      <c r="C8" s="143">
        <v>7000000</v>
      </c>
      <c r="D8" s="49" t="s">
        <v>115</v>
      </c>
    </row>
    <row r="9" spans="1:11">
      <c r="B9" s="49">
        <v>2019</v>
      </c>
      <c r="C9" s="143">
        <v>2000000</v>
      </c>
      <c r="D9" s="49" t="s">
        <v>115</v>
      </c>
    </row>
    <row r="10" spans="1:11">
      <c r="B10" s="49">
        <v>2020</v>
      </c>
      <c r="C10" s="143">
        <v>1000000</v>
      </c>
      <c r="D10" s="49" t="s">
        <v>115</v>
      </c>
    </row>
    <row r="11" spans="1:11">
      <c r="A11" s="56" t="s">
        <v>337</v>
      </c>
      <c r="B11" s="143">
        <v>1000000</v>
      </c>
      <c r="C11" s="49" t="s">
        <v>262</v>
      </c>
    </row>
    <row r="12" spans="1:11">
      <c r="A12" s="56" t="s">
        <v>113</v>
      </c>
      <c r="B12" s="58">
        <v>0.06</v>
      </c>
      <c r="C12" s="49" t="s">
        <v>338</v>
      </c>
    </row>
    <row r="14" spans="1:11" s="367" customFormat="1">
      <c r="A14" s="367" t="s">
        <v>298</v>
      </c>
      <c r="B14" s="367" t="s">
        <v>205</v>
      </c>
      <c r="C14" s="367" t="s">
        <v>336</v>
      </c>
      <c r="D14" s="367" t="s">
        <v>337</v>
      </c>
      <c r="E14" s="5"/>
      <c r="F14" s="374" t="s">
        <v>298</v>
      </c>
      <c r="G14" s="374" t="s">
        <v>205</v>
      </c>
      <c r="H14" s="374" t="s">
        <v>336</v>
      </c>
      <c r="I14" s="374" t="s">
        <v>337</v>
      </c>
      <c r="J14" s="374" t="s">
        <v>658</v>
      </c>
      <c r="K14" s="374" t="s">
        <v>659</v>
      </c>
    </row>
    <row r="15" spans="1:11" s="367" customFormat="1">
      <c r="A15" s="367">
        <v>2015</v>
      </c>
      <c r="B15" s="367">
        <v>1</v>
      </c>
      <c r="C15" s="367">
        <v>0</v>
      </c>
      <c r="D15" s="211">
        <f>$B$11</f>
        <v>1000000</v>
      </c>
      <c r="E15" s="6"/>
      <c r="F15" s="375">
        <v>2015</v>
      </c>
      <c r="G15" s="375">
        <v>0</v>
      </c>
      <c r="H15" s="375">
        <v>0</v>
      </c>
      <c r="I15" s="376">
        <f>$B$11</f>
        <v>1000000</v>
      </c>
      <c r="J15" s="376">
        <f t="shared" ref="J15:J25" si="0">C15+D15</f>
        <v>1000000</v>
      </c>
      <c r="K15" s="377">
        <f t="shared" ref="K15:K25" si="1">PV($B$12,G15,,-(H15+I15),)/1000000</f>
        <v>1</v>
      </c>
    </row>
    <row r="16" spans="1:11" s="367" customFormat="1">
      <c r="A16" s="367">
        <v>2016</v>
      </c>
      <c r="B16" s="367">
        <v>1</v>
      </c>
      <c r="C16" s="367">
        <v>0</v>
      </c>
      <c r="D16" s="211">
        <f t="shared" ref="D16:D25" si="2">$B$11</f>
        <v>1000000</v>
      </c>
      <c r="E16" s="6"/>
      <c r="F16" s="375">
        <v>2016</v>
      </c>
      <c r="G16" s="375">
        <v>1</v>
      </c>
      <c r="H16" s="375">
        <v>0</v>
      </c>
      <c r="I16" s="376">
        <f t="shared" ref="I16:I25" si="3">$B$11</f>
        <v>1000000</v>
      </c>
      <c r="J16" s="376">
        <f t="shared" si="0"/>
        <v>1000000</v>
      </c>
      <c r="K16" s="377">
        <f t="shared" si="1"/>
        <v>0.94339622641509435</v>
      </c>
    </row>
    <row r="17" spans="1:13" s="367" customFormat="1">
      <c r="A17" s="367">
        <v>2017</v>
      </c>
      <c r="B17" s="367">
        <v>2</v>
      </c>
      <c r="C17" s="211">
        <f>C8</f>
        <v>7000000</v>
      </c>
      <c r="D17" s="211">
        <f t="shared" si="2"/>
        <v>1000000</v>
      </c>
      <c r="E17" s="6"/>
      <c r="F17" s="375">
        <v>2017</v>
      </c>
      <c r="G17" s="375">
        <v>2</v>
      </c>
      <c r="H17" s="376">
        <f>C8</f>
        <v>7000000</v>
      </c>
      <c r="I17" s="376">
        <f t="shared" si="3"/>
        <v>1000000</v>
      </c>
      <c r="J17" s="376">
        <f t="shared" si="0"/>
        <v>8000000</v>
      </c>
      <c r="K17" s="377">
        <f t="shared" si="1"/>
        <v>7.1199715201139187</v>
      </c>
    </row>
    <row r="18" spans="1:13" s="367" customFormat="1">
      <c r="A18" s="367">
        <v>2018</v>
      </c>
      <c r="B18" s="367">
        <v>3</v>
      </c>
      <c r="C18" s="211">
        <v>0</v>
      </c>
      <c r="D18" s="211">
        <f t="shared" si="2"/>
        <v>1000000</v>
      </c>
      <c r="E18" s="6"/>
      <c r="F18" s="375">
        <v>2018</v>
      </c>
      <c r="G18" s="375">
        <v>3</v>
      </c>
      <c r="H18" s="376">
        <v>0</v>
      </c>
      <c r="I18" s="376">
        <f t="shared" si="3"/>
        <v>1000000</v>
      </c>
      <c r="J18" s="376">
        <f t="shared" si="0"/>
        <v>1000000</v>
      </c>
      <c r="K18" s="377">
        <f t="shared" si="1"/>
        <v>0.8396192830323016</v>
      </c>
    </row>
    <row r="19" spans="1:13" s="367" customFormat="1">
      <c r="A19" s="367">
        <v>2019</v>
      </c>
      <c r="B19" s="367">
        <v>4</v>
      </c>
      <c r="C19" s="211">
        <f>C9</f>
        <v>2000000</v>
      </c>
      <c r="D19" s="211">
        <f t="shared" si="2"/>
        <v>1000000</v>
      </c>
      <c r="E19" s="6"/>
      <c r="F19" s="375">
        <v>2019</v>
      </c>
      <c r="G19" s="375">
        <v>4</v>
      </c>
      <c r="H19" s="376">
        <f>C9</f>
        <v>2000000</v>
      </c>
      <c r="I19" s="376">
        <f t="shared" si="3"/>
        <v>1000000</v>
      </c>
      <c r="J19" s="376">
        <f t="shared" si="0"/>
        <v>3000000</v>
      </c>
      <c r="K19" s="377">
        <f t="shared" si="1"/>
        <v>2.3762809897140613</v>
      </c>
    </row>
    <row r="20" spans="1:13" s="367" customFormat="1">
      <c r="A20" s="367">
        <v>2020</v>
      </c>
      <c r="B20" s="367">
        <v>5</v>
      </c>
      <c r="C20" s="211">
        <f>C10</f>
        <v>1000000</v>
      </c>
      <c r="D20" s="211">
        <f t="shared" si="2"/>
        <v>1000000</v>
      </c>
      <c r="E20" s="6"/>
      <c r="F20" s="375">
        <v>2020</v>
      </c>
      <c r="G20" s="375">
        <v>5</v>
      </c>
      <c r="H20" s="376">
        <f>C10</f>
        <v>1000000</v>
      </c>
      <c r="I20" s="376">
        <f t="shared" si="3"/>
        <v>1000000</v>
      </c>
      <c r="J20" s="376">
        <f t="shared" si="0"/>
        <v>2000000</v>
      </c>
      <c r="K20" s="377">
        <f t="shared" si="1"/>
        <v>1.4945163457321138</v>
      </c>
    </row>
    <row r="21" spans="1:13">
      <c r="A21" s="367">
        <v>2021</v>
      </c>
      <c r="B21" s="367">
        <v>6</v>
      </c>
      <c r="C21" s="367">
        <v>0</v>
      </c>
      <c r="D21" s="211">
        <f t="shared" si="2"/>
        <v>1000000</v>
      </c>
      <c r="E21" s="6"/>
      <c r="F21" s="375">
        <v>2021</v>
      </c>
      <c r="G21" s="375">
        <v>6</v>
      </c>
      <c r="H21" s="375">
        <v>0</v>
      </c>
      <c r="I21" s="376">
        <f t="shared" si="3"/>
        <v>1000000</v>
      </c>
      <c r="J21" s="376">
        <f t="shared" si="0"/>
        <v>1000000</v>
      </c>
      <c r="K21" s="377">
        <f t="shared" si="1"/>
        <v>0.70496054043967626</v>
      </c>
    </row>
    <row r="22" spans="1:13">
      <c r="A22" s="367">
        <v>2022</v>
      </c>
      <c r="B22" s="367">
        <v>7</v>
      </c>
      <c r="C22" s="367">
        <v>0</v>
      </c>
      <c r="D22" s="211">
        <f t="shared" si="2"/>
        <v>1000000</v>
      </c>
      <c r="E22" s="6"/>
      <c r="F22" s="375">
        <v>2022</v>
      </c>
      <c r="G22" s="375">
        <v>7</v>
      </c>
      <c r="H22" s="375">
        <v>0</v>
      </c>
      <c r="I22" s="376">
        <f t="shared" si="3"/>
        <v>1000000</v>
      </c>
      <c r="J22" s="376">
        <f t="shared" si="0"/>
        <v>1000000</v>
      </c>
      <c r="K22" s="377">
        <f t="shared" si="1"/>
        <v>0.6650571136223361</v>
      </c>
    </row>
    <row r="23" spans="1:13">
      <c r="A23" s="367">
        <v>2023</v>
      </c>
      <c r="B23" s="367">
        <v>8</v>
      </c>
      <c r="C23" s="367">
        <v>0</v>
      </c>
      <c r="D23" s="211">
        <f t="shared" si="2"/>
        <v>1000000</v>
      </c>
      <c r="E23" s="6"/>
      <c r="F23" s="375">
        <v>2023</v>
      </c>
      <c r="G23" s="375">
        <v>8</v>
      </c>
      <c r="H23" s="375">
        <v>0</v>
      </c>
      <c r="I23" s="376">
        <f t="shared" si="3"/>
        <v>1000000</v>
      </c>
      <c r="J23" s="376">
        <f t="shared" si="0"/>
        <v>1000000</v>
      </c>
      <c r="K23" s="377">
        <f t="shared" si="1"/>
        <v>0.62741237134182648</v>
      </c>
    </row>
    <row r="24" spans="1:13">
      <c r="A24" s="367">
        <v>2024</v>
      </c>
      <c r="B24" s="367">
        <v>9</v>
      </c>
      <c r="C24" s="367">
        <v>0</v>
      </c>
      <c r="D24" s="211">
        <f t="shared" si="2"/>
        <v>1000000</v>
      </c>
      <c r="E24" s="6"/>
      <c r="F24" s="375">
        <v>2024</v>
      </c>
      <c r="G24" s="375">
        <v>9</v>
      </c>
      <c r="H24" s="375">
        <v>0</v>
      </c>
      <c r="I24" s="376">
        <f t="shared" si="3"/>
        <v>1000000</v>
      </c>
      <c r="J24" s="376">
        <f t="shared" si="0"/>
        <v>1000000</v>
      </c>
      <c r="K24" s="377">
        <f t="shared" si="1"/>
        <v>0.59189846353002495</v>
      </c>
    </row>
    <row r="25" spans="1:13">
      <c r="A25" s="367">
        <v>2025</v>
      </c>
      <c r="B25" s="367">
        <v>10</v>
      </c>
      <c r="C25" s="367">
        <v>0</v>
      </c>
      <c r="D25" s="211">
        <f t="shared" si="2"/>
        <v>1000000</v>
      </c>
      <c r="E25" s="6"/>
      <c r="F25" s="375">
        <v>2025</v>
      </c>
      <c r="G25" s="375">
        <v>10</v>
      </c>
      <c r="H25" s="375">
        <v>0</v>
      </c>
      <c r="I25" s="376">
        <f t="shared" si="3"/>
        <v>1000000</v>
      </c>
      <c r="J25" s="376">
        <f t="shared" si="0"/>
        <v>1000000</v>
      </c>
      <c r="K25" s="377">
        <f t="shared" si="1"/>
        <v>0.55839477691511785</v>
      </c>
    </row>
    <row r="26" spans="1:13">
      <c r="A26" s="7"/>
      <c r="B26" s="7"/>
      <c r="C26" s="7"/>
      <c r="D26" s="360"/>
      <c r="E26" s="361"/>
      <c r="I26" s="374" t="s">
        <v>229</v>
      </c>
      <c r="J26" s="378">
        <f>NPV(B12,J16:J25)+J15</f>
        <v>16921507.630856477</v>
      </c>
      <c r="K26" s="378">
        <f>SUM(K15:K25)</f>
        <v>16.921507630856471</v>
      </c>
    </row>
    <row r="27" spans="1:13">
      <c r="A27" s="87"/>
      <c r="B27" s="87"/>
      <c r="C27" s="87"/>
      <c r="D27" s="87"/>
      <c r="E27" s="87"/>
      <c r="F27" s="87"/>
      <c r="G27" s="87"/>
      <c r="H27" s="87"/>
      <c r="I27" s="87"/>
      <c r="J27" s="87"/>
    </row>
    <row r="28" spans="1:13">
      <c r="A28" s="117" t="s">
        <v>982</v>
      </c>
      <c r="B28" s="117"/>
      <c r="C28" s="117"/>
      <c r="D28" s="117"/>
      <c r="E28" s="117"/>
      <c r="F28" s="117"/>
      <c r="G28" s="117"/>
      <c r="H28" s="117"/>
      <c r="I28" s="117"/>
      <c r="J28" s="64"/>
      <c r="K28" s="64"/>
    </row>
    <row r="29" spans="1:13">
      <c r="A29" s="64"/>
      <c r="B29" s="64"/>
      <c r="C29" s="64"/>
      <c r="D29" s="64"/>
      <c r="E29" s="64"/>
      <c r="F29" s="64"/>
      <c r="G29" s="64"/>
      <c r="H29" s="64"/>
      <c r="I29" s="64"/>
      <c r="J29" s="64"/>
      <c r="K29" s="64"/>
    </row>
    <row r="30" spans="1:13" ht="15.75" thickBot="1">
      <c r="A30" s="1406" t="s">
        <v>1002</v>
      </c>
      <c r="B30" s="1407"/>
      <c r="C30" s="1407"/>
      <c r="D30" s="1407"/>
      <c r="E30" s="1407"/>
      <c r="F30" s="1407"/>
      <c r="G30" s="1407"/>
      <c r="H30" s="1407"/>
      <c r="I30" s="1407"/>
      <c r="J30" s="1407"/>
      <c r="K30" s="1407"/>
    </row>
    <row r="31" spans="1:13">
      <c r="A31" s="1313" t="s">
        <v>339</v>
      </c>
      <c r="B31" s="1314"/>
      <c r="C31" s="1313" t="s">
        <v>340</v>
      </c>
      <c r="D31" s="1334"/>
      <c r="E31" s="907" t="s">
        <v>342</v>
      </c>
      <c r="F31" s="1334" t="s">
        <v>344</v>
      </c>
      <c r="G31" s="1334"/>
      <c r="H31" s="1334" t="s">
        <v>205</v>
      </c>
      <c r="I31" s="1334"/>
      <c r="J31" s="1334" t="s">
        <v>347</v>
      </c>
      <c r="K31" s="1314"/>
      <c r="L31" s="56"/>
      <c r="M31" s="56"/>
    </row>
    <row r="32" spans="1:13" ht="15.75" thickBot="1">
      <c r="A32" s="1337"/>
      <c r="B32" s="1338"/>
      <c r="C32" s="1337" t="s">
        <v>341</v>
      </c>
      <c r="D32" s="1337"/>
      <c r="E32" s="908" t="s">
        <v>343</v>
      </c>
      <c r="F32" s="1339" t="s">
        <v>345</v>
      </c>
      <c r="G32" s="1339"/>
      <c r="H32" s="1339" t="s">
        <v>346</v>
      </c>
      <c r="I32" s="1339"/>
      <c r="J32" s="1339" t="s">
        <v>348</v>
      </c>
      <c r="K32" s="1338"/>
      <c r="L32" s="56"/>
      <c r="M32" s="56"/>
    </row>
    <row r="33" spans="1:11">
      <c r="A33" s="1408" t="s">
        <v>349</v>
      </c>
      <c r="B33" s="1409"/>
      <c r="C33" s="1485" t="s">
        <v>350</v>
      </c>
      <c r="D33" s="1485"/>
      <c r="E33" s="379">
        <v>0</v>
      </c>
      <c r="F33" s="1405">
        <v>0.02</v>
      </c>
      <c r="G33" s="1405"/>
      <c r="H33" s="1405" t="s">
        <v>351</v>
      </c>
      <c r="I33" s="1405"/>
      <c r="J33" s="1405">
        <v>100</v>
      </c>
      <c r="K33" s="1410"/>
    </row>
    <row r="34" spans="1:11">
      <c r="A34" s="1390" t="s">
        <v>251</v>
      </c>
      <c r="B34" s="1391"/>
      <c r="C34" s="1386">
        <v>12</v>
      </c>
      <c r="D34" s="1386"/>
      <c r="E34" s="381">
        <v>2</v>
      </c>
      <c r="F34" s="1387">
        <v>1.6E-2</v>
      </c>
      <c r="G34" s="1387"/>
      <c r="H34" s="1387" t="s">
        <v>352</v>
      </c>
      <c r="I34" s="1387"/>
      <c r="J34" s="1387">
        <v>200</v>
      </c>
      <c r="K34" s="1401"/>
    </row>
    <row r="35" spans="1:11">
      <c r="A35" s="1390" t="s">
        <v>24</v>
      </c>
      <c r="B35" s="1391"/>
      <c r="C35" s="1386">
        <v>10</v>
      </c>
      <c r="D35" s="1387"/>
      <c r="E35" s="381">
        <v>1</v>
      </c>
      <c r="F35" s="1387">
        <v>0.02</v>
      </c>
      <c r="G35" s="1387"/>
      <c r="H35" s="1387" t="s">
        <v>351</v>
      </c>
      <c r="I35" s="1387"/>
      <c r="J35" s="1387">
        <v>200</v>
      </c>
      <c r="K35" s="1401"/>
    </row>
    <row r="36" spans="1:11">
      <c r="A36" s="1390" t="s">
        <v>353</v>
      </c>
      <c r="B36" s="1391"/>
      <c r="C36" s="1386">
        <v>15</v>
      </c>
      <c r="D36" s="1387"/>
      <c r="E36" s="381">
        <v>2</v>
      </c>
      <c r="F36" s="1387">
        <v>2.3E-2</v>
      </c>
      <c r="G36" s="1387"/>
      <c r="H36" s="1387" t="s">
        <v>354</v>
      </c>
      <c r="I36" s="1387"/>
      <c r="J36" s="1387">
        <v>50</v>
      </c>
      <c r="K36" s="1401"/>
    </row>
    <row r="37" spans="1:11" ht="15.75" thickBot="1">
      <c r="A37" s="1392" t="s">
        <v>355</v>
      </c>
      <c r="B37" s="1393"/>
      <c r="C37" s="1388" t="s">
        <v>350</v>
      </c>
      <c r="D37" s="1389"/>
      <c r="E37" s="380">
        <v>0</v>
      </c>
      <c r="F37" s="1389">
        <v>0.01</v>
      </c>
      <c r="G37" s="1389"/>
      <c r="H37" s="1389" t="s">
        <v>356</v>
      </c>
      <c r="I37" s="1389"/>
      <c r="J37" s="1389">
        <v>50</v>
      </c>
      <c r="K37" s="1402"/>
    </row>
    <row r="38" spans="1:11">
      <c r="A38" s="64"/>
      <c r="B38" s="64"/>
      <c r="C38" s="64"/>
      <c r="D38" s="64"/>
      <c r="E38" s="64"/>
      <c r="F38" s="64"/>
      <c r="G38" s="64"/>
      <c r="H38" s="1400"/>
      <c r="I38" s="1400"/>
      <c r="J38" s="64"/>
      <c r="K38" s="64"/>
    </row>
    <row r="40" spans="1:11" ht="18">
      <c r="A40" s="49" t="s">
        <v>712</v>
      </c>
      <c r="B40" s="367">
        <f>E35*C35</f>
        <v>10</v>
      </c>
      <c r="C40" s="367" t="s">
        <v>253</v>
      </c>
      <c r="D40" s="367" t="s">
        <v>7</v>
      </c>
      <c r="E40" s="367">
        <f>B40/1000</f>
        <v>0.01</v>
      </c>
      <c r="F40" s="367" t="s">
        <v>116</v>
      </c>
      <c r="G40" s="367"/>
      <c r="H40" s="367"/>
      <c r="I40" s="367"/>
    </row>
    <row r="41" spans="1:11" ht="15.75" thickBot="1">
      <c r="C41" s="367"/>
      <c r="D41" s="367"/>
      <c r="E41" s="367"/>
      <c r="F41" s="367"/>
      <c r="G41" s="367"/>
      <c r="H41" s="367"/>
      <c r="I41" s="367"/>
    </row>
    <row r="42" spans="1:11" ht="15.75" thickBot="1">
      <c r="A42" s="82" t="s">
        <v>357</v>
      </c>
      <c r="B42" s="269">
        <f>E40+F35</f>
        <v>0.03</v>
      </c>
      <c r="C42" s="270" t="s">
        <v>116</v>
      </c>
    </row>
    <row r="43" spans="1:11">
      <c r="A43" s="87"/>
      <c r="B43" s="87"/>
      <c r="C43" s="87"/>
      <c r="D43" s="87"/>
      <c r="E43" s="87"/>
      <c r="F43" s="87"/>
      <c r="G43" s="87"/>
      <c r="H43" s="87"/>
      <c r="I43" s="87"/>
      <c r="J43" s="87"/>
    </row>
    <row r="44" spans="1:11" ht="15" customHeight="1">
      <c r="A44" s="1121" t="s">
        <v>1003</v>
      </c>
      <c r="B44" s="1122"/>
      <c r="C44" s="1122"/>
      <c r="D44" s="1122"/>
      <c r="E44" s="1122"/>
      <c r="F44" s="1122"/>
      <c r="G44" s="1122"/>
      <c r="H44" s="1122"/>
      <c r="I44" s="1122"/>
      <c r="J44" s="1122"/>
    </row>
    <row r="45" spans="1:11">
      <c r="A45" s="1123"/>
      <c r="B45" s="1123"/>
      <c r="C45" s="1123"/>
      <c r="D45" s="1123"/>
      <c r="E45" s="1123"/>
      <c r="F45" s="1123"/>
      <c r="G45" s="1123"/>
      <c r="H45" s="1123"/>
      <c r="I45" s="1123"/>
      <c r="J45" s="1123"/>
    </row>
    <row r="46" spans="1:11">
      <c r="A46" s="1123"/>
      <c r="B46" s="1123"/>
      <c r="C46" s="1123"/>
      <c r="D46" s="1123"/>
      <c r="E46" s="1123"/>
      <c r="F46" s="1123"/>
      <c r="G46" s="1123"/>
      <c r="H46" s="1123"/>
      <c r="I46" s="1123"/>
      <c r="J46" s="1123"/>
    </row>
    <row r="47" spans="1:11">
      <c r="A47" s="1123"/>
      <c r="B47" s="1123"/>
      <c r="C47" s="1123"/>
      <c r="D47" s="1123"/>
      <c r="E47" s="1123"/>
      <c r="F47" s="1123"/>
      <c r="G47" s="1123"/>
      <c r="H47" s="1123"/>
      <c r="I47" s="1123"/>
      <c r="J47" s="1123"/>
    </row>
    <row r="48" spans="1:11">
      <c r="A48" s="1123"/>
      <c r="B48" s="1123"/>
      <c r="C48" s="1123"/>
      <c r="D48" s="1123"/>
      <c r="E48" s="1123"/>
      <c r="F48" s="1123"/>
      <c r="G48" s="1123"/>
      <c r="H48" s="1123"/>
      <c r="I48" s="1123"/>
      <c r="J48" s="1123"/>
    </row>
    <row r="49" spans="1:10">
      <c r="F49" s="49" t="s">
        <v>358</v>
      </c>
      <c r="G49" s="898" t="s">
        <v>1004</v>
      </c>
    </row>
    <row r="50" spans="1:10">
      <c r="A50" s="1411" t="s">
        <v>349</v>
      </c>
      <c r="B50" s="1411"/>
      <c r="C50" s="364" t="s">
        <v>357</v>
      </c>
      <c r="D50" s="382">
        <f>F33*1000</f>
        <v>20</v>
      </c>
      <c r="E50" s="364" t="s">
        <v>253</v>
      </c>
      <c r="F50" s="49" t="s">
        <v>359</v>
      </c>
      <c r="G50" s="211">
        <v>8760</v>
      </c>
      <c r="H50" s="383"/>
      <c r="I50" s="384"/>
      <c r="J50" s="367"/>
    </row>
    <row r="51" spans="1:10">
      <c r="A51" s="1274" t="s">
        <v>251</v>
      </c>
      <c r="B51" s="1274"/>
      <c r="C51" s="364" t="s">
        <v>357</v>
      </c>
      <c r="D51" s="385">
        <f>((C34*E34/1000)+F34)*1000</f>
        <v>40</v>
      </c>
      <c r="E51" s="364" t="s">
        <v>253</v>
      </c>
      <c r="F51" s="49" t="s">
        <v>360</v>
      </c>
      <c r="G51" s="211">
        <v>3000</v>
      </c>
      <c r="H51" s="383"/>
      <c r="I51" s="384"/>
      <c r="J51" s="367"/>
    </row>
    <row r="52" spans="1:10">
      <c r="A52" s="1274" t="s">
        <v>24</v>
      </c>
      <c r="B52" s="1274"/>
      <c r="C52" s="364" t="s">
        <v>357</v>
      </c>
      <c r="D52" s="385">
        <f t="shared" ref="D52:D53" si="4">((C35*E35/1000)+F35)*1000</f>
        <v>30</v>
      </c>
      <c r="E52" s="364" t="s">
        <v>253</v>
      </c>
      <c r="F52" s="49" t="s">
        <v>359</v>
      </c>
      <c r="G52" s="211">
        <v>8760</v>
      </c>
      <c r="H52" s="383"/>
      <c r="I52" s="384"/>
      <c r="J52" s="367"/>
    </row>
    <row r="53" spans="1:10">
      <c r="A53" s="1399" t="s">
        <v>353</v>
      </c>
      <c r="B53" s="1274"/>
      <c r="C53" s="364" t="s">
        <v>357</v>
      </c>
      <c r="D53" s="385">
        <f t="shared" si="4"/>
        <v>53</v>
      </c>
      <c r="E53" s="364" t="s">
        <v>253</v>
      </c>
      <c r="F53" s="49" t="s">
        <v>362</v>
      </c>
      <c r="G53" s="211">
        <v>1200</v>
      </c>
      <c r="H53" s="383"/>
      <c r="I53" s="384"/>
      <c r="J53" s="367"/>
    </row>
    <row r="54" spans="1:10">
      <c r="A54" s="1274" t="s">
        <v>355</v>
      </c>
      <c r="B54" s="1274"/>
      <c r="C54" s="364" t="s">
        <v>357</v>
      </c>
      <c r="D54" s="385">
        <f>F37*1000</f>
        <v>10</v>
      </c>
      <c r="E54" s="364" t="s">
        <v>253</v>
      </c>
      <c r="F54" s="49" t="s">
        <v>361</v>
      </c>
      <c r="G54" s="211">
        <v>800</v>
      </c>
      <c r="H54" s="383"/>
      <c r="I54" s="384"/>
      <c r="J54" s="367"/>
    </row>
    <row r="55" spans="1:10" ht="15.75" thickBot="1">
      <c r="H55" s="386"/>
    </row>
    <row r="56" spans="1:10" ht="18.75" thickBot="1">
      <c r="A56" s="1399" t="s">
        <v>1005</v>
      </c>
      <c r="B56" s="1274"/>
      <c r="C56" s="387" t="s">
        <v>713</v>
      </c>
      <c r="D56" s="388">
        <f>MAX(D50:D54)</f>
        <v>53</v>
      </c>
      <c r="E56" s="364" t="s">
        <v>253</v>
      </c>
      <c r="H56" s="386"/>
    </row>
    <row r="57" spans="1:10" ht="15.75" thickBot="1">
      <c r="A57" s="372"/>
      <c r="B57" s="372"/>
      <c r="C57" s="389"/>
      <c r="D57" s="382"/>
      <c r="E57" s="364"/>
      <c r="H57" s="386"/>
    </row>
    <row r="58" spans="1:10">
      <c r="A58" s="372"/>
      <c r="B58" s="1486" t="s">
        <v>1006</v>
      </c>
      <c r="C58" s="1135"/>
      <c r="D58" s="1135"/>
      <c r="E58" s="1135"/>
      <c r="F58" s="1135"/>
      <c r="G58" s="1135"/>
      <c r="H58" s="1135"/>
      <c r="I58" s="1135"/>
      <c r="J58" s="1136"/>
    </row>
    <row r="59" spans="1:10">
      <c r="A59" s="372"/>
      <c r="B59" s="1137"/>
      <c r="C59" s="1119"/>
      <c r="D59" s="1119"/>
      <c r="E59" s="1119"/>
      <c r="F59" s="1119"/>
      <c r="G59" s="1119"/>
      <c r="H59" s="1119"/>
      <c r="I59" s="1119"/>
      <c r="J59" s="1138"/>
    </row>
    <row r="60" spans="1:10" ht="15.75" thickBot="1">
      <c r="A60" s="372"/>
      <c r="B60" s="1139"/>
      <c r="C60" s="1140"/>
      <c r="D60" s="1140"/>
      <c r="E60" s="1140"/>
      <c r="F60" s="1140"/>
      <c r="G60" s="1140"/>
      <c r="H60" s="1140"/>
      <c r="I60" s="1140"/>
      <c r="J60" s="1141"/>
    </row>
    <row r="61" spans="1:10" ht="14.25" customHeight="1">
      <c r="A61" s="87"/>
      <c r="B61" s="87"/>
      <c r="C61" s="87"/>
      <c r="D61" s="87"/>
      <c r="E61" s="87"/>
      <c r="F61" s="87"/>
      <c r="G61" s="87"/>
      <c r="H61" s="87"/>
      <c r="I61" s="87"/>
      <c r="J61" s="87"/>
    </row>
    <row r="62" spans="1:10" ht="6" customHeight="1">
      <c r="A62" s="1121" t="s">
        <v>1011</v>
      </c>
      <c r="B62" s="1122"/>
      <c r="C62" s="1122"/>
      <c r="D62" s="1122"/>
      <c r="E62" s="1122"/>
      <c r="F62" s="1122"/>
      <c r="G62" s="1122"/>
      <c r="H62" s="1122"/>
      <c r="I62" s="1122"/>
      <c r="J62" s="1122"/>
    </row>
    <row r="63" spans="1:10" ht="14.25" customHeight="1">
      <c r="A63" s="1123"/>
      <c r="B63" s="1123"/>
      <c r="C63" s="1123"/>
      <c r="D63" s="1123"/>
      <c r="E63" s="1123"/>
      <c r="F63" s="1123"/>
      <c r="G63" s="1123"/>
      <c r="H63" s="1123"/>
      <c r="I63" s="1123"/>
      <c r="J63" s="1123"/>
    </row>
    <row r="64" spans="1:10" ht="0.75" customHeight="1" thickBot="1">
      <c r="A64" s="1123"/>
      <c r="B64" s="1123"/>
      <c r="C64" s="1123"/>
      <c r="D64" s="1123"/>
      <c r="E64" s="1123"/>
      <c r="F64" s="1123"/>
      <c r="G64" s="1123"/>
      <c r="H64" s="1123"/>
      <c r="I64" s="1123"/>
      <c r="J64" s="1123"/>
    </row>
    <row r="65" spans="1:45">
      <c r="A65" s="1123"/>
      <c r="B65" s="1123"/>
      <c r="C65" s="1123"/>
      <c r="D65" s="1123"/>
      <c r="E65" s="1123"/>
      <c r="F65" s="1123"/>
      <c r="G65" s="1123"/>
      <c r="H65" s="1123"/>
      <c r="I65" s="1123"/>
      <c r="J65" s="1123"/>
      <c r="L65" s="390" t="s">
        <v>298</v>
      </c>
      <c r="M65" s="390" t="s">
        <v>355</v>
      </c>
      <c r="N65" s="390" t="s">
        <v>369</v>
      </c>
      <c r="O65" s="390" t="s">
        <v>251</v>
      </c>
      <c r="P65" s="390" t="s">
        <v>24</v>
      </c>
      <c r="Q65" s="390" t="s">
        <v>671</v>
      </c>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c r="AS65" s="293"/>
    </row>
    <row r="66" spans="1:45" ht="14.1" customHeight="1">
      <c r="A66" s="1123"/>
      <c r="B66" s="1123"/>
      <c r="C66" s="1123"/>
      <c r="D66" s="1123"/>
      <c r="E66" s="1123"/>
      <c r="F66" s="1123"/>
      <c r="G66" s="1123"/>
      <c r="H66" s="1123"/>
      <c r="I66" s="1123"/>
      <c r="J66" s="1123"/>
      <c r="L66" s="391">
        <v>0</v>
      </c>
      <c r="M66" s="391">
        <v>0</v>
      </c>
      <c r="N66" s="391">
        <v>0</v>
      </c>
      <c r="O66" s="391">
        <v>0</v>
      </c>
      <c r="P66" s="391">
        <v>0</v>
      </c>
      <c r="Q66" s="391">
        <v>0</v>
      </c>
      <c r="R66" s="293"/>
      <c r="S66" s="1471" t="s">
        <v>1013</v>
      </c>
      <c r="T66" s="1472"/>
      <c r="U66" s="1472"/>
      <c r="V66" s="1472"/>
      <c r="W66" s="1472"/>
      <c r="X66" s="1472"/>
      <c r="Y66" s="293"/>
      <c r="Z66" s="293"/>
      <c r="AA66" s="293"/>
      <c r="AB66" s="293"/>
      <c r="AC66" s="293"/>
      <c r="AD66" s="293"/>
      <c r="AE66" s="293"/>
      <c r="AF66" s="293"/>
      <c r="AG66" s="293"/>
      <c r="AH66" s="293"/>
      <c r="AI66" s="293"/>
      <c r="AJ66" s="293"/>
      <c r="AK66" s="293"/>
      <c r="AL66" s="293"/>
      <c r="AM66" s="293"/>
      <c r="AN66" s="293"/>
      <c r="AO66" s="293"/>
      <c r="AP66" s="293"/>
      <c r="AQ66" s="293"/>
      <c r="AR66" s="293"/>
      <c r="AS66" s="293"/>
    </row>
    <row r="67" spans="1:45">
      <c r="A67" s="1123"/>
      <c r="B67" s="1123"/>
      <c r="C67" s="1123"/>
      <c r="D67" s="1123"/>
      <c r="E67" s="1123"/>
      <c r="F67" s="1123"/>
      <c r="G67" s="1123"/>
      <c r="H67" s="1123"/>
      <c r="I67" s="1123"/>
      <c r="J67" s="1123"/>
      <c r="L67" s="391">
        <v>1</v>
      </c>
      <c r="M67" s="391">
        <v>0</v>
      </c>
      <c r="N67" s="391">
        <v>0</v>
      </c>
      <c r="O67" s="391">
        <v>0</v>
      </c>
      <c r="P67" s="392">
        <f t="shared" ref="P67:P69" si="5">P68</f>
        <v>60</v>
      </c>
      <c r="Q67" s="391">
        <v>0</v>
      </c>
      <c r="R67" s="375"/>
      <c r="S67" s="1472"/>
      <c r="T67" s="1472"/>
      <c r="U67" s="1472"/>
      <c r="V67" s="1472"/>
      <c r="W67" s="1472"/>
      <c r="X67" s="1472"/>
      <c r="Y67" s="293"/>
      <c r="Z67" s="293"/>
      <c r="AA67" s="293"/>
      <c r="AB67" s="293"/>
      <c r="AC67" s="293"/>
      <c r="AD67" s="293"/>
      <c r="AE67" s="293"/>
      <c r="AF67" s="293"/>
      <c r="AG67" s="293"/>
      <c r="AH67" s="293"/>
      <c r="AI67" s="293"/>
      <c r="AJ67" s="293"/>
      <c r="AK67" s="293"/>
      <c r="AL67" s="293"/>
      <c r="AM67" s="293"/>
      <c r="AN67" s="293"/>
      <c r="AO67" s="293"/>
      <c r="AP67" s="293"/>
      <c r="AQ67" s="293"/>
      <c r="AR67" s="293"/>
      <c r="AS67" s="293"/>
    </row>
    <row r="68" spans="1:45">
      <c r="L68" s="391">
        <v>2</v>
      </c>
      <c r="M68" s="391">
        <v>0</v>
      </c>
      <c r="N68" s="391">
        <v>0</v>
      </c>
      <c r="O68" s="391">
        <v>0</v>
      </c>
      <c r="P68" s="392">
        <f t="shared" si="5"/>
        <v>60</v>
      </c>
      <c r="Q68" s="391">
        <v>0</v>
      </c>
      <c r="R68" s="375"/>
      <c r="S68" s="1472"/>
      <c r="T68" s="1472"/>
      <c r="U68" s="1472"/>
      <c r="V68" s="1472"/>
      <c r="W68" s="1472"/>
      <c r="X68" s="1472"/>
      <c r="Y68" s="293"/>
      <c r="Z68" s="293"/>
      <c r="AA68" s="293"/>
      <c r="AB68" s="293"/>
      <c r="AC68" s="293"/>
      <c r="AD68" s="293"/>
      <c r="AE68" s="293"/>
      <c r="AF68" s="293"/>
      <c r="AG68" s="293"/>
      <c r="AH68" s="293"/>
      <c r="AI68" s="293"/>
      <c r="AJ68" s="293"/>
      <c r="AK68" s="293"/>
      <c r="AL68" s="293"/>
      <c r="AM68" s="293"/>
      <c r="AN68" s="293"/>
      <c r="AO68" s="293"/>
      <c r="AP68" s="293"/>
      <c r="AQ68" s="293"/>
      <c r="AR68" s="293"/>
      <c r="AS68" s="293"/>
    </row>
    <row r="69" spans="1:45" ht="15.75" thickBot="1">
      <c r="A69" s="1398" t="s">
        <v>998</v>
      </c>
      <c r="B69" s="1082"/>
      <c r="C69" s="1082"/>
      <c r="D69" s="1082"/>
      <c r="E69" s="1082"/>
      <c r="F69" s="1082"/>
      <c r="G69" s="1082"/>
      <c r="H69" s="1082"/>
      <c r="I69" s="1082"/>
      <c r="J69" s="1082"/>
      <c r="L69" s="391">
        <v>3</v>
      </c>
      <c r="M69" s="391">
        <v>0</v>
      </c>
      <c r="N69" s="391">
        <v>0</v>
      </c>
      <c r="O69" s="392">
        <f>O70</f>
        <v>91.666666666666671</v>
      </c>
      <c r="P69" s="392">
        <f t="shared" si="5"/>
        <v>60</v>
      </c>
      <c r="Q69" s="391">
        <v>0</v>
      </c>
      <c r="R69" s="375"/>
      <c r="S69" s="1472"/>
      <c r="T69" s="1472"/>
      <c r="U69" s="1472"/>
      <c r="V69" s="1472"/>
      <c r="W69" s="1472"/>
      <c r="X69" s="1472"/>
      <c r="Y69" s="293"/>
      <c r="Z69" s="293"/>
      <c r="AA69" s="293"/>
      <c r="AB69" s="293"/>
      <c r="AC69" s="293"/>
      <c r="AD69" s="293"/>
      <c r="AE69" s="293"/>
      <c r="AF69" s="293"/>
      <c r="AG69" s="293"/>
      <c r="AH69" s="293"/>
      <c r="AI69" s="293"/>
      <c r="AJ69" s="293"/>
      <c r="AK69" s="293"/>
      <c r="AL69" s="293"/>
      <c r="AM69" s="293"/>
      <c r="AN69" s="293"/>
      <c r="AO69" s="293"/>
      <c r="AP69" s="293"/>
      <c r="AQ69" s="293"/>
      <c r="AR69" s="293"/>
      <c r="AS69" s="293"/>
    </row>
    <row r="70" spans="1:45">
      <c r="A70" s="1394" t="s">
        <v>339</v>
      </c>
      <c r="B70" s="1395"/>
      <c r="C70" s="947" t="s">
        <v>347</v>
      </c>
      <c r="D70" s="947" t="s">
        <v>110</v>
      </c>
      <c r="E70" s="947" t="s">
        <v>364</v>
      </c>
      <c r="F70" s="1414" t="s">
        <v>366</v>
      </c>
      <c r="G70" s="1414"/>
      <c r="H70" s="947" t="s">
        <v>368</v>
      </c>
      <c r="I70" s="1414" t="s">
        <v>205</v>
      </c>
      <c r="J70" s="1395"/>
      <c r="K70" s="56"/>
      <c r="L70" s="391">
        <v>4</v>
      </c>
      <c r="M70" s="392">
        <f>M71</f>
        <v>35</v>
      </c>
      <c r="N70" s="392">
        <f>N71</f>
        <v>35</v>
      </c>
      <c r="O70" s="392">
        <f>O71</f>
        <v>91.666666666666671</v>
      </c>
      <c r="P70" s="392">
        <f>P71</f>
        <v>60</v>
      </c>
      <c r="Q70" s="391">
        <v>0</v>
      </c>
      <c r="R70" s="375"/>
      <c r="S70" s="1472"/>
      <c r="T70" s="1472"/>
      <c r="U70" s="1472"/>
      <c r="V70" s="1472"/>
      <c r="W70" s="1472"/>
      <c r="X70" s="1472"/>
      <c r="Y70" s="293"/>
      <c r="Z70" s="293"/>
      <c r="AA70" s="293"/>
      <c r="AB70" s="293"/>
      <c r="AC70" s="293"/>
      <c r="AD70" s="293"/>
      <c r="AE70" s="293"/>
      <c r="AF70" s="293"/>
      <c r="AG70" s="293"/>
      <c r="AH70" s="293"/>
      <c r="AI70" s="293"/>
      <c r="AJ70" s="293"/>
      <c r="AK70" s="293"/>
      <c r="AL70" s="293"/>
      <c r="AM70" s="293"/>
      <c r="AN70" s="293"/>
      <c r="AO70" s="293"/>
      <c r="AP70" s="293"/>
      <c r="AQ70" s="293"/>
      <c r="AR70" s="293"/>
      <c r="AS70" s="293"/>
    </row>
    <row r="71" spans="1:45" ht="15.75" thickBot="1">
      <c r="A71" s="1396"/>
      <c r="B71" s="1397"/>
      <c r="C71" s="958" t="s">
        <v>348</v>
      </c>
      <c r="D71" s="958" t="s">
        <v>363</v>
      </c>
      <c r="E71" s="958" t="s">
        <v>365</v>
      </c>
      <c r="F71" s="1415" t="s">
        <v>367</v>
      </c>
      <c r="G71" s="1415"/>
      <c r="H71" s="958" t="s">
        <v>367</v>
      </c>
      <c r="I71" s="1415" t="s">
        <v>346</v>
      </c>
      <c r="J71" s="1397"/>
      <c r="K71" s="56"/>
      <c r="L71" s="395">
        <v>5</v>
      </c>
      <c r="M71" s="396">
        <f>F76/2</f>
        <v>35</v>
      </c>
      <c r="N71" s="396">
        <f>F72/2</f>
        <v>35</v>
      </c>
      <c r="O71" s="396">
        <f>F73/3</f>
        <v>91.666666666666671</v>
      </c>
      <c r="P71" s="396">
        <f>F74/5</f>
        <v>60</v>
      </c>
      <c r="Q71" s="396">
        <f>F75</f>
        <v>25</v>
      </c>
      <c r="R71" s="375"/>
      <c r="S71" s="1472"/>
      <c r="T71" s="1472"/>
      <c r="U71" s="1472"/>
      <c r="V71" s="1472"/>
      <c r="W71" s="1472"/>
      <c r="X71" s="1472"/>
      <c r="Y71" s="293"/>
      <c r="Z71" s="293"/>
      <c r="AA71" s="293"/>
      <c r="AB71" s="293"/>
      <c r="AC71" s="293"/>
      <c r="AD71" s="293"/>
      <c r="AE71" s="293"/>
      <c r="AF71" s="293"/>
      <c r="AG71" s="293"/>
      <c r="AH71" s="293"/>
      <c r="AI71" s="293"/>
      <c r="AJ71" s="293"/>
      <c r="AK71" s="293"/>
      <c r="AL71" s="293"/>
      <c r="AM71" s="293"/>
      <c r="AN71" s="293"/>
      <c r="AO71" s="293"/>
      <c r="AP71" s="293"/>
      <c r="AQ71" s="293"/>
      <c r="AR71" s="293"/>
      <c r="AS71" s="293"/>
    </row>
    <row r="72" spans="1:45">
      <c r="A72" s="1293" t="s">
        <v>369</v>
      </c>
      <c r="B72" s="1417"/>
      <c r="C72" s="393">
        <v>100</v>
      </c>
      <c r="D72" s="393">
        <v>50</v>
      </c>
      <c r="E72" s="393">
        <v>2</v>
      </c>
      <c r="F72" s="1416">
        <v>70</v>
      </c>
      <c r="G72" s="1416"/>
      <c r="H72" s="393">
        <v>0.5</v>
      </c>
      <c r="I72" s="1416" t="s">
        <v>370</v>
      </c>
      <c r="J72" s="1417"/>
      <c r="L72" s="397" t="s">
        <v>665</v>
      </c>
      <c r="M72" s="398">
        <f>NPV($B$78,M67:M71)+M66</f>
        <v>53.87731426364271</v>
      </c>
      <c r="N72" s="398">
        <f>NPV($B$78,N67:N71)+N66</f>
        <v>53.87731426364271</v>
      </c>
      <c r="O72" s="398">
        <f>NPV($B$78,O67:O71)+O66</f>
        <v>218.07235258750143</v>
      </c>
      <c r="P72" s="398">
        <f>NPV($B$78,P67:P71)+P66</f>
        <v>252.74182713394282</v>
      </c>
      <c r="Q72" s="398">
        <f>NPV($B$78,Q67:Q71)+Q66</f>
        <v>18.681454321651426</v>
      </c>
      <c r="R72" s="375"/>
      <c r="S72" s="1472"/>
      <c r="T72" s="1472"/>
      <c r="U72" s="1472"/>
      <c r="V72" s="1472"/>
      <c r="W72" s="1472"/>
      <c r="X72" s="1472"/>
      <c r="Y72" s="293"/>
      <c r="Z72" s="293"/>
      <c r="AA72" s="293"/>
      <c r="AB72" s="293"/>
      <c r="AC72" s="293"/>
      <c r="AD72" s="293"/>
      <c r="AE72" s="293"/>
      <c r="AF72" s="293"/>
      <c r="AG72" s="293"/>
      <c r="AH72" s="293"/>
      <c r="AI72" s="293"/>
      <c r="AJ72" s="293"/>
      <c r="AK72" s="293"/>
      <c r="AL72" s="293"/>
      <c r="AM72" s="293"/>
      <c r="AN72" s="293"/>
      <c r="AO72" s="293"/>
      <c r="AP72" s="293"/>
      <c r="AQ72" s="293"/>
      <c r="AR72" s="293"/>
      <c r="AS72" s="293"/>
    </row>
    <row r="73" spans="1:45">
      <c r="A73" s="1421" t="s">
        <v>251</v>
      </c>
      <c r="B73" s="1418"/>
      <c r="C73" s="399">
        <v>200</v>
      </c>
      <c r="D73" s="399">
        <v>30</v>
      </c>
      <c r="E73" s="399">
        <v>3</v>
      </c>
      <c r="F73" s="1412">
        <v>275</v>
      </c>
      <c r="G73" s="1412"/>
      <c r="H73" s="399">
        <v>4.5</v>
      </c>
      <c r="I73" s="1412" t="s">
        <v>371</v>
      </c>
      <c r="J73" s="1418"/>
      <c r="L73" s="400" t="s">
        <v>660</v>
      </c>
      <c r="M73" s="401">
        <f>-PMT($B$78,5,M72,,)</f>
        <v>12.790280471088769</v>
      </c>
      <c r="N73" s="401">
        <f>-PMT($B$78,5,N72,,)</f>
        <v>12.790280471088769</v>
      </c>
      <c r="O73" s="401">
        <f>-PMT($B$78,5,O72,,)</f>
        <v>51.769591537834053</v>
      </c>
      <c r="P73" s="401">
        <f>-PMT($B$78,5,P72,,)</f>
        <v>60</v>
      </c>
      <c r="Q73" s="401">
        <f>-PMT($B$78,5,Q72,,)</f>
        <v>4.4349100107797401</v>
      </c>
      <c r="R73" s="375"/>
      <c r="S73" s="1472"/>
      <c r="T73" s="1472"/>
      <c r="U73" s="1472"/>
      <c r="V73" s="1472"/>
      <c r="W73" s="1472"/>
      <c r="X73" s="1472"/>
      <c r="Y73" s="293"/>
      <c r="Z73" s="293"/>
      <c r="AA73" s="293"/>
      <c r="AB73" s="293"/>
      <c r="AC73" s="293"/>
      <c r="AD73" s="293"/>
      <c r="AE73" s="293"/>
      <c r="AF73" s="293"/>
      <c r="AG73" s="293"/>
      <c r="AH73" s="293"/>
      <c r="AI73" s="293"/>
      <c r="AJ73" s="293"/>
      <c r="AK73" s="293"/>
      <c r="AL73" s="293"/>
      <c r="AM73" s="293"/>
      <c r="AN73" s="293"/>
      <c r="AO73" s="293"/>
      <c r="AP73" s="293"/>
      <c r="AQ73" s="293"/>
      <c r="AR73" s="293"/>
      <c r="AS73" s="293"/>
    </row>
    <row r="74" spans="1:45">
      <c r="A74" s="1421" t="s">
        <v>24</v>
      </c>
      <c r="B74" s="1418"/>
      <c r="C74" s="399">
        <v>200</v>
      </c>
      <c r="D74" s="399">
        <v>30</v>
      </c>
      <c r="E74" s="399">
        <v>5</v>
      </c>
      <c r="F74" s="1412">
        <v>300</v>
      </c>
      <c r="G74" s="1412"/>
      <c r="H74" s="399">
        <v>5</v>
      </c>
      <c r="I74" s="1412" t="s">
        <v>370</v>
      </c>
      <c r="J74" s="1418"/>
      <c r="L74" s="400" t="s">
        <v>664</v>
      </c>
      <c r="M74" s="392">
        <f>P78</f>
        <v>64.162505110885903</v>
      </c>
      <c r="N74" s="392">
        <f>W78</f>
        <v>59.724619408980445</v>
      </c>
      <c r="O74" s="392">
        <f>AD78</f>
        <v>264.35882417982435</v>
      </c>
      <c r="P74" s="392">
        <f>AK78</f>
        <v>304.17124001430165</v>
      </c>
      <c r="Q74" s="392">
        <f>AR78</f>
        <v>29.82374440616492</v>
      </c>
      <c r="R74" s="375"/>
      <c r="S74" s="316"/>
      <c r="T74" s="316"/>
      <c r="U74" s="293"/>
      <c r="V74" s="293"/>
      <c r="W74" s="293"/>
      <c r="X74" s="293"/>
      <c r="Y74" s="293"/>
      <c r="Z74" s="293"/>
      <c r="AA74" s="293"/>
      <c r="AB74" s="293"/>
      <c r="AC74" s="293"/>
      <c r="AD74" s="293"/>
      <c r="AE74" s="293"/>
      <c r="AF74" s="293"/>
      <c r="AG74" s="293"/>
      <c r="AH74" s="293"/>
      <c r="AI74" s="293"/>
      <c r="AJ74" s="293"/>
      <c r="AK74" s="293"/>
      <c r="AL74" s="293"/>
      <c r="AM74" s="293"/>
      <c r="AN74" s="293"/>
      <c r="AO74" s="293"/>
      <c r="AP74" s="293"/>
      <c r="AQ74" s="293"/>
      <c r="AR74" s="293"/>
      <c r="AS74" s="293"/>
    </row>
    <row r="75" spans="1:45" ht="15.75" thickBot="1">
      <c r="A75" s="1164" t="s">
        <v>353</v>
      </c>
      <c r="B75" s="1418"/>
      <c r="C75" s="399">
        <v>50</v>
      </c>
      <c r="D75" s="399">
        <v>20</v>
      </c>
      <c r="E75" s="399">
        <v>1</v>
      </c>
      <c r="F75" s="1412">
        <v>25</v>
      </c>
      <c r="G75" s="1412"/>
      <c r="H75" s="399">
        <v>1.3</v>
      </c>
      <c r="I75" s="1412" t="s">
        <v>372</v>
      </c>
      <c r="J75" s="1418"/>
      <c r="L75" s="402" t="s">
        <v>667</v>
      </c>
      <c r="M75" s="403">
        <f>Q81*1000</f>
        <v>111.8795916523511</v>
      </c>
      <c r="N75" s="403">
        <f>X81*1000</f>
        <v>37.891858573535217</v>
      </c>
      <c r="O75" s="403">
        <f>AE81*1000</f>
        <v>96.026904097265074</v>
      </c>
      <c r="P75" s="403">
        <f>AL81*1000</f>
        <v>110.48854746808455</v>
      </c>
      <c r="Q75" s="403">
        <f>AS81*1000</f>
        <v>52.003398868846809</v>
      </c>
      <c r="R75" s="375"/>
      <c r="S75" s="293"/>
      <c r="T75" s="293"/>
      <c r="U75" s="293"/>
      <c r="V75" s="293"/>
      <c r="W75" s="293"/>
      <c r="X75" s="293"/>
      <c r="Y75" s="293"/>
      <c r="Z75" s="293"/>
      <c r="AA75" s="293"/>
      <c r="AB75" s="293"/>
      <c r="AC75" s="293"/>
      <c r="AD75" s="293"/>
      <c r="AE75" s="293"/>
      <c r="AF75" s="293"/>
      <c r="AG75" s="293"/>
      <c r="AH75" s="293"/>
      <c r="AI75" s="293"/>
      <c r="AJ75" s="293"/>
      <c r="AK75" s="293"/>
      <c r="AL75" s="293"/>
      <c r="AM75" s="293"/>
      <c r="AN75" s="293"/>
      <c r="AO75" s="293"/>
      <c r="AP75" s="293"/>
      <c r="AQ75" s="293"/>
      <c r="AR75" s="293"/>
      <c r="AS75" s="293"/>
    </row>
    <row r="76" spans="1:45" ht="15.75" thickBot="1">
      <c r="A76" s="1294" t="s">
        <v>355</v>
      </c>
      <c r="B76" s="1422"/>
      <c r="C76" s="394">
        <v>50</v>
      </c>
      <c r="D76" s="394">
        <v>20</v>
      </c>
      <c r="E76" s="394">
        <v>2</v>
      </c>
      <c r="F76" s="1413">
        <v>70</v>
      </c>
      <c r="G76" s="1413"/>
      <c r="H76" s="394">
        <v>1.2</v>
      </c>
      <c r="I76" s="1419" t="s">
        <v>356</v>
      </c>
      <c r="J76" s="1420"/>
      <c r="L76" s="293"/>
      <c r="M76" s="293"/>
      <c r="N76" s="293"/>
      <c r="O76" s="293"/>
      <c r="P76" s="293"/>
      <c r="Q76" s="293"/>
      <c r="R76" s="293"/>
      <c r="S76" s="293"/>
      <c r="T76" s="293"/>
      <c r="U76" s="293"/>
      <c r="V76" s="293"/>
      <c r="W76" s="293"/>
      <c r="X76" s="293"/>
      <c r="Y76" s="293"/>
      <c r="Z76" s="293"/>
      <c r="AA76" s="293"/>
      <c r="AB76" s="293"/>
      <c r="AC76" s="293"/>
      <c r="AD76" s="293"/>
      <c r="AE76" s="293"/>
      <c r="AF76" s="293"/>
      <c r="AG76" s="293"/>
      <c r="AH76" s="293"/>
      <c r="AI76" s="293"/>
      <c r="AJ76" s="293"/>
      <c r="AK76" s="293"/>
      <c r="AL76" s="293"/>
      <c r="AM76" s="293"/>
      <c r="AN76" s="293"/>
      <c r="AO76" s="293"/>
      <c r="AP76" s="293"/>
      <c r="AQ76" s="293"/>
      <c r="AR76" s="293"/>
      <c r="AS76" s="293"/>
    </row>
    <row r="77" spans="1:45" ht="15.75" thickBot="1">
      <c r="L77" s="1475" t="s">
        <v>355</v>
      </c>
      <c r="M77" s="404" t="s">
        <v>663</v>
      </c>
      <c r="N77" s="405">
        <f>NPV($B$78,O86:O135)+O85</f>
        <v>13.763905462278299</v>
      </c>
      <c r="O77" s="404" t="s">
        <v>666</v>
      </c>
      <c r="P77" s="406">
        <f>P78/$C$76</f>
        <v>1.2832501022177181</v>
      </c>
      <c r="Q77" s="1468" t="s">
        <v>666</v>
      </c>
      <c r="R77" s="293"/>
      <c r="S77" s="1475" t="s">
        <v>369</v>
      </c>
      <c r="T77" s="404" t="s">
        <v>663</v>
      </c>
      <c r="U77" s="405">
        <f>NPV($B$78,V86:V135)+V85</f>
        <v>7.8809303181942347</v>
      </c>
      <c r="V77" s="404" t="s">
        <v>666</v>
      </c>
      <c r="W77" s="406">
        <f>W78/$C$72</f>
        <v>0.59724619408980439</v>
      </c>
      <c r="X77" s="1468" t="s">
        <v>666</v>
      </c>
      <c r="Y77" s="293"/>
      <c r="Z77" s="1475" t="s">
        <v>251</v>
      </c>
      <c r="AA77" s="404" t="s">
        <v>663</v>
      </c>
      <c r="AB77" s="405">
        <f>NPV($B$78,AC86:AC135)+AC85</f>
        <v>61.941740181702357</v>
      </c>
      <c r="AC77" s="404" t="s">
        <v>666</v>
      </c>
      <c r="AD77" s="406">
        <f>AD78/$C$73</f>
        <v>1.3217941208991217</v>
      </c>
      <c r="AE77" s="1468" t="s">
        <v>666</v>
      </c>
      <c r="AF77" s="293"/>
      <c r="AG77" s="1475" t="s">
        <v>24</v>
      </c>
      <c r="AH77" s="404" t="s">
        <v>663</v>
      </c>
      <c r="AI77" s="405">
        <f>NPV($B$78,AJ86:AJ135)+AJ85</f>
        <v>68.824155757447073</v>
      </c>
      <c r="AJ77" s="404" t="s">
        <v>666</v>
      </c>
      <c r="AK77" s="406">
        <f>AK78/$C$74</f>
        <v>1.5208562000715082</v>
      </c>
      <c r="AL77" s="1468" t="s">
        <v>666</v>
      </c>
      <c r="AM77" s="293"/>
      <c r="AN77" s="1475" t="s">
        <v>671</v>
      </c>
      <c r="AO77" s="404" t="s">
        <v>663</v>
      </c>
      <c r="AP77" s="405">
        <f>NPV($B$78,AQ86:AQ135)+AQ85</f>
        <v>14.910897584134826</v>
      </c>
      <c r="AQ77" s="404" t="s">
        <v>666</v>
      </c>
      <c r="AR77" s="406">
        <f>AR78/$C$75</f>
        <v>0.59647488812329841</v>
      </c>
      <c r="AS77" s="1468" t="s">
        <v>666</v>
      </c>
    </row>
    <row r="78" spans="1:45" ht="15.75" thickBot="1">
      <c r="A78" s="49" t="s">
        <v>113</v>
      </c>
      <c r="B78" s="224">
        <v>0.06</v>
      </c>
      <c r="C78" s="49" t="s">
        <v>338</v>
      </c>
      <c r="L78" s="1476"/>
      <c r="M78" s="404" t="s">
        <v>662</v>
      </c>
      <c r="N78" s="405">
        <f>NPV($B$78,M81:M85)+M80</f>
        <v>53.877314263642702</v>
      </c>
      <c r="O78" s="407" t="s">
        <v>664</v>
      </c>
      <c r="P78" s="406">
        <f>NPV($B$78,P81:P133)+P80</f>
        <v>64.162505110885903</v>
      </c>
      <c r="Q78" s="1469"/>
      <c r="R78" s="293"/>
      <c r="S78" s="1476"/>
      <c r="T78" s="404" t="s">
        <v>662</v>
      </c>
      <c r="U78" s="405">
        <f>NPV($B$78,T81:T85)+T80</f>
        <v>53.877314263642702</v>
      </c>
      <c r="V78" s="407" t="s">
        <v>664</v>
      </c>
      <c r="W78" s="406">
        <f>NPV($B$78,W81:W133)+W80</f>
        <v>59.724619408980445</v>
      </c>
      <c r="X78" s="1469"/>
      <c r="Y78" s="293"/>
      <c r="Z78" s="1476"/>
      <c r="AA78" s="404" t="s">
        <v>662</v>
      </c>
      <c r="AB78" s="405">
        <f>NPV($B$78,AA81:AA85)+AA80</f>
        <v>218.07235258750134</v>
      </c>
      <c r="AC78" s="407" t="s">
        <v>664</v>
      </c>
      <c r="AD78" s="406">
        <f>NPV($B$78,AD81:AD133)+AD80</f>
        <v>264.35882417982435</v>
      </c>
      <c r="AE78" s="1469"/>
      <c r="AF78" s="293"/>
      <c r="AG78" s="1476"/>
      <c r="AH78" s="404" t="s">
        <v>662</v>
      </c>
      <c r="AI78" s="405">
        <f>NPV($B$78,AH81:AH85)+AH80</f>
        <v>252.74182713394282</v>
      </c>
      <c r="AJ78" s="407" t="s">
        <v>664</v>
      </c>
      <c r="AK78" s="406">
        <f>NPV($B$78,AK81:AK133)+AK80</f>
        <v>304.17124001430165</v>
      </c>
      <c r="AL78" s="1469"/>
      <c r="AM78" s="293"/>
      <c r="AN78" s="1476"/>
      <c r="AO78" s="404" t="s">
        <v>662</v>
      </c>
      <c r="AP78" s="405">
        <f>NPV($B$78,AO81:AO85)+AO80</f>
        <v>18.681454321651426</v>
      </c>
      <c r="AQ78" s="407" t="s">
        <v>664</v>
      </c>
      <c r="AR78" s="406">
        <f>NPV($B$78,AR81:AR133)+AR80</f>
        <v>29.82374440616492</v>
      </c>
      <c r="AS78" s="1469"/>
    </row>
    <row r="79" spans="1:45" ht="15.75" thickBot="1">
      <c r="A79" s="1364" t="s">
        <v>355</v>
      </c>
      <c r="B79" s="1365"/>
      <c r="C79" s="1365"/>
      <c r="D79" s="1365"/>
      <c r="E79" s="1365"/>
      <c r="F79" s="1365"/>
      <c r="G79" s="1365"/>
      <c r="H79" s="1365"/>
      <c r="I79" s="1365"/>
      <c r="J79" s="1366"/>
      <c r="L79" s="408" t="s">
        <v>205</v>
      </c>
      <c r="M79" s="409" t="s">
        <v>668</v>
      </c>
      <c r="N79" s="370" t="s">
        <v>661</v>
      </c>
      <c r="O79" s="409" t="s">
        <v>669</v>
      </c>
      <c r="P79" s="371" t="s">
        <v>670</v>
      </c>
      <c r="Q79" s="1470"/>
      <c r="R79" s="293"/>
      <c r="S79" s="408" t="s">
        <v>205</v>
      </c>
      <c r="T79" s="409" t="s">
        <v>668</v>
      </c>
      <c r="U79" s="370" t="s">
        <v>661</v>
      </c>
      <c r="V79" s="409" t="s">
        <v>669</v>
      </c>
      <c r="W79" s="371" t="s">
        <v>670</v>
      </c>
      <c r="X79" s="1470"/>
      <c r="Y79" s="293"/>
      <c r="Z79" s="408" t="s">
        <v>205</v>
      </c>
      <c r="AA79" s="409" t="s">
        <v>668</v>
      </c>
      <c r="AB79" s="370" t="s">
        <v>661</v>
      </c>
      <c r="AC79" s="409" t="s">
        <v>669</v>
      </c>
      <c r="AD79" s="371" t="s">
        <v>670</v>
      </c>
      <c r="AE79" s="1470"/>
      <c r="AF79" s="293"/>
      <c r="AG79" s="408" t="s">
        <v>205</v>
      </c>
      <c r="AH79" s="409" t="s">
        <v>668</v>
      </c>
      <c r="AI79" s="370" t="s">
        <v>661</v>
      </c>
      <c r="AJ79" s="409" t="s">
        <v>669</v>
      </c>
      <c r="AK79" s="371" t="s">
        <v>670</v>
      </c>
      <c r="AL79" s="1470"/>
      <c r="AM79" s="293"/>
      <c r="AN79" s="408" t="s">
        <v>205</v>
      </c>
      <c r="AO79" s="409" t="s">
        <v>668</v>
      </c>
      <c r="AP79" s="370" t="s">
        <v>661</v>
      </c>
      <c r="AQ79" s="409" t="s">
        <v>669</v>
      </c>
      <c r="AR79" s="371" t="s">
        <v>670</v>
      </c>
      <c r="AS79" s="1470"/>
    </row>
    <row r="80" spans="1:45" ht="15.75" thickBot="1">
      <c r="A80" s="373"/>
      <c r="B80" s="373" t="s">
        <v>373</v>
      </c>
      <c r="C80" s="373"/>
      <c r="D80" s="373"/>
      <c r="L80" s="330">
        <v>0</v>
      </c>
      <c r="M80" s="410">
        <v>0</v>
      </c>
      <c r="N80" s="331">
        <v>0</v>
      </c>
      <c r="O80" s="410">
        <v>0</v>
      </c>
      <c r="P80" s="410">
        <f>M80+O80</f>
        <v>0</v>
      </c>
      <c r="Q80" s="411">
        <f>P77</f>
        <v>1.2832501022177181</v>
      </c>
      <c r="R80" s="293"/>
      <c r="S80" s="330">
        <v>0</v>
      </c>
      <c r="T80" s="410">
        <v>0</v>
      </c>
      <c r="U80" s="331">
        <v>0</v>
      </c>
      <c r="V80" s="410">
        <v>0</v>
      </c>
      <c r="W80" s="410">
        <f>T80+V80</f>
        <v>0</v>
      </c>
      <c r="X80" s="411">
        <f>W77</f>
        <v>0.59724619408980439</v>
      </c>
      <c r="Y80" s="293"/>
      <c r="Z80" s="330">
        <v>0</v>
      </c>
      <c r="AA80" s="410">
        <v>0</v>
      </c>
      <c r="AB80" s="331">
        <v>0</v>
      </c>
      <c r="AC80" s="410">
        <v>0</v>
      </c>
      <c r="AD80" s="410">
        <f>AA80+AC80</f>
        <v>0</v>
      </c>
      <c r="AE80" s="411">
        <f>AD77</f>
        <v>1.3217941208991217</v>
      </c>
      <c r="AF80" s="293"/>
      <c r="AG80" s="330">
        <v>0</v>
      </c>
      <c r="AH80" s="410">
        <v>0</v>
      </c>
      <c r="AI80" s="331">
        <v>0</v>
      </c>
      <c r="AJ80" s="410">
        <v>0</v>
      </c>
      <c r="AK80" s="410">
        <f>AH80+AJ80</f>
        <v>0</v>
      </c>
      <c r="AL80" s="411">
        <f>AK77</f>
        <v>1.5208562000715082</v>
      </c>
      <c r="AM80" s="293"/>
      <c r="AN80" s="330">
        <v>0</v>
      </c>
      <c r="AO80" s="410">
        <v>0</v>
      </c>
      <c r="AP80" s="331">
        <v>0</v>
      </c>
      <c r="AQ80" s="410">
        <v>0</v>
      </c>
      <c r="AR80" s="410">
        <f>AO80+AQ80</f>
        <v>0</v>
      </c>
      <c r="AS80" s="411">
        <f>AR77</f>
        <v>0.59647488812329841</v>
      </c>
    </row>
    <row r="81" spans="1:45">
      <c r="A81" s="367" t="s">
        <v>230</v>
      </c>
      <c r="B81" s="211">
        <v>0</v>
      </c>
      <c r="C81" s="367"/>
      <c r="E81" s="143"/>
      <c r="H81" s="1486" t="s">
        <v>1020</v>
      </c>
      <c r="I81" s="1487"/>
      <c r="J81" s="1136"/>
      <c r="L81" s="330">
        <f>L80+1</f>
        <v>1</v>
      </c>
      <c r="M81" s="410">
        <f>M73</f>
        <v>12.790280471088769</v>
      </c>
      <c r="N81" s="331">
        <v>0</v>
      </c>
      <c r="O81" s="410">
        <v>0</v>
      </c>
      <c r="P81" s="410">
        <f t="shared" ref="P81:P135" si="6">M81+O81</f>
        <v>12.790280471088769</v>
      </c>
      <c r="Q81" s="412">
        <f>-PMT($B$78,$D$76,Q80,,)</f>
        <v>0.11187959165235109</v>
      </c>
      <c r="R81" s="293"/>
      <c r="S81" s="330">
        <f>S80+1</f>
        <v>1</v>
      </c>
      <c r="T81" s="410">
        <f>N73</f>
        <v>12.790280471088769</v>
      </c>
      <c r="U81" s="331">
        <v>0</v>
      </c>
      <c r="V81" s="410">
        <v>0</v>
      </c>
      <c r="W81" s="410">
        <f t="shared" ref="W81:W135" si="7">T81+V81</f>
        <v>12.790280471088769</v>
      </c>
      <c r="X81" s="412">
        <f>-PMT($B$78,$D$72,X80,,)</f>
        <v>3.789185857353522E-2</v>
      </c>
      <c r="Y81" s="293"/>
      <c r="Z81" s="330">
        <f>Z80+1</f>
        <v>1</v>
      </c>
      <c r="AA81" s="410">
        <f>O73</f>
        <v>51.769591537834053</v>
      </c>
      <c r="AB81" s="331">
        <v>0</v>
      </c>
      <c r="AC81" s="410">
        <v>0</v>
      </c>
      <c r="AD81" s="410">
        <f t="shared" ref="AD81:AD135" si="8">AA81+AC81</f>
        <v>51.769591537834053</v>
      </c>
      <c r="AE81" s="412">
        <f>-PMT($B$78,$D$73,AE80,,)</f>
        <v>9.6026904097265067E-2</v>
      </c>
      <c r="AF81" s="293"/>
      <c r="AG81" s="330">
        <f>AG80+1</f>
        <v>1</v>
      </c>
      <c r="AH81" s="410">
        <f>P73</f>
        <v>60</v>
      </c>
      <c r="AI81" s="331">
        <v>0</v>
      </c>
      <c r="AJ81" s="410">
        <v>0</v>
      </c>
      <c r="AK81" s="410">
        <f t="shared" ref="AK81:AK135" si="9">AH81+AJ81</f>
        <v>60</v>
      </c>
      <c r="AL81" s="412">
        <f>-PMT($B$78,$D$74,AL80,,)</f>
        <v>0.11048854746808455</v>
      </c>
      <c r="AM81" s="293"/>
      <c r="AN81" s="330">
        <f>AN80+1</f>
        <v>1</v>
      </c>
      <c r="AO81" s="410">
        <f>Q73</f>
        <v>4.4349100107797401</v>
      </c>
      <c r="AP81" s="331">
        <v>0</v>
      </c>
      <c r="AQ81" s="410">
        <v>0</v>
      </c>
      <c r="AR81" s="410">
        <f t="shared" ref="AR81:AR135" si="10">AO81+AQ81</f>
        <v>4.4349100107797401</v>
      </c>
      <c r="AS81" s="412">
        <f>-PMT($B$78,$D$75,AS80,,)</f>
        <v>5.2003398868846806E-2</v>
      </c>
    </row>
    <row r="82" spans="1:45">
      <c r="A82" s="367" t="s">
        <v>231</v>
      </c>
      <c r="B82" s="211">
        <v>0</v>
      </c>
      <c r="C82" s="367"/>
      <c r="E82" s="143"/>
      <c r="H82" s="1488"/>
      <c r="I82" s="1287"/>
      <c r="J82" s="1138"/>
      <c r="L82" s="330">
        <f t="shared" ref="L82:L129" si="11">L81+1</f>
        <v>2</v>
      </c>
      <c r="M82" s="410">
        <f>M81</f>
        <v>12.790280471088769</v>
      </c>
      <c r="N82" s="331">
        <v>0</v>
      </c>
      <c r="O82" s="410">
        <v>0</v>
      </c>
      <c r="P82" s="410">
        <f t="shared" si="6"/>
        <v>12.790280471088769</v>
      </c>
      <c r="Q82" s="413"/>
      <c r="R82" s="293"/>
      <c r="S82" s="330">
        <f t="shared" ref="S82:S129" si="12">S81+1</f>
        <v>2</v>
      </c>
      <c r="T82" s="410">
        <f>T81</f>
        <v>12.790280471088769</v>
      </c>
      <c r="U82" s="331">
        <v>0</v>
      </c>
      <c r="V82" s="410">
        <v>0</v>
      </c>
      <c r="W82" s="410">
        <f t="shared" si="7"/>
        <v>12.790280471088769</v>
      </c>
      <c r="X82" s="413"/>
      <c r="Y82" s="293"/>
      <c r="Z82" s="330">
        <f t="shared" ref="Z82:Z129" si="13">Z81+1</f>
        <v>2</v>
      </c>
      <c r="AA82" s="410">
        <f>AA81</f>
        <v>51.769591537834053</v>
      </c>
      <c r="AB82" s="331">
        <v>0</v>
      </c>
      <c r="AC82" s="410">
        <v>0</v>
      </c>
      <c r="AD82" s="410">
        <f t="shared" si="8"/>
        <v>51.769591537834053</v>
      </c>
      <c r="AE82" s="413"/>
      <c r="AF82" s="293"/>
      <c r="AG82" s="330">
        <f t="shared" ref="AG82:AG129" si="14">AG81+1</f>
        <v>2</v>
      </c>
      <c r="AH82" s="410">
        <f>AH81</f>
        <v>60</v>
      </c>
      <c r="AI82" s="331">
        <v>0</v>
      </c>
      <c r="AJ82" s="410">
        <v>0</v>
      </c>
      <c r="AK82" s="410">
        <f t="shared" si="9"/>
        <v>60</v>
      </c>
      <c r="AL82" s="413"/>
      <c r="AM82" s="293"/>
      <c r="AN82" s="330">
        <f t="shared" ref="AN82:AN129" si="15">AN81+1</f>
        <v>2</v>
      </c>
      <c r="AO82" s="410">
        <f>AO81</f>
        <v>4.4349100107797401</v>
      </c>
      <c r="AP82" s="331">
        <v>0</v>
      </c>
      <c r="AQ82" s="410">
        <v>0</v>
      </c>
      <c r="AR82" s="410">
        <f t="shared" si="10"/>
        <v>4.4349100107797401</v>
      </c>
      <c r="AS82" s="413"/>
    </row>
    <row r="83" spans="1:45">
      <c r="A83" s="367" t="s">
        <v>232</v>
      </c>
      <c r="B83" s="211">
        <v>0</v>
      </c>
      <c r="C83" s="367"/>
      <c r="E83" s="143"/>
      <c r="F83" s="414"/>
      <c r="H83" s="1488"/>
      <c r="I83" s="1287"/>
      <c r="J83" s="1138"/>
      <c r="L83" s="330">
        <f t="shared" si="11"/>
        <v>3</v>
      </c>
      <c r="M83" s="410">
        <f>M82</f>
        <v>12.790280471088769</v>
      </c>
      <c r="N83" s="331">
        <v>0</v>
      </c>
      <c r="O83" s="410">
        <v>0</v>
      </c>
      <c r="P83" s="410">
        <f t="shared" si="6"/>
        <v>12.790280471088769</v>
      </c>
      <c r="Q83" s="413"/>
      <c r="R83" s="293"/>
      <c r="S83" s="330">
        <f t="shared" si="12"/>
        <v>3</v>
      </c>
      <c r="T83" s="410">
        <f>T82</f>
        <v>12.790280471088769</v>
      </c>
      <c r="U83" s="331">
        <v>0</v>
      </c>
      <c r="V83" s="410">
        <v>0</v>
      </c>
      <c r="W83" s="410">
        <f t="shared" si="7"/>
        <v>12.790280471088769</v>
      </c>
      <c r="X83" s="413"/>
      <c r="Y83" s="293"/>
      <c r="Z83" s="330">
        <f t="shared" si="13"/>
        <v>3</v>
      </c>
      <c r="AA83" s="410">
        <f>AA82</f>
        <v>51.769591537834053</v>
      </c>
      <c r="AB83" s="331">
        <v>0</v>
      </c>
      <c r="AC83" s="410">
        <v>0</v>
      </c>
      <c r="AD83" s="410">
        <f t="shared" si="8"/>
        <v>51.769591537834053</v>
      </c>
      <c r="AE83" s="413"/>
      <c r="AF83" s="293"/>
      <c r="AG83" s="330">
        <f t="shared" si="14"/>
        <v>3</v>
      </c>
      <c r="AH83" s="410">
        <f>AH82</f>
        <v>60</v>
      </c>
      <c r="AI83" s="331">
        <v>0</v>
      </c>
      <c r="AJ83" s="410">
        <v>0</v>
      </c>
      <c r="AK83" s="410">
        <f t="shared" si="9"/>
        <v>60</v>
      </c>
      <c r="AL83" s="413"/>
      <c r="AM83" s="293"/>
      <c r="AN83" s="330">
        <f t="shared" si="15"/>
        <v>3</v>
      </c>
      <c r="AO83" s="410">
        <f>AO82</f>
        <v>4.4349100107797401</v>
      </c>
      <c r="AP83" s="331">
        <v>0</v>
      </c>
      <c r="AQ83" s="410">
        <v>0</v>
      </c>
      <c r="AR83" s="410">
        <f t="shared" si="10"/>
        <v>4.4349100107797401</v>
      </c>
      <c r="AS83" s="413"/>
    </row>
    <row r="84" spans="1:45">
      <c r="A84" s="367" t="s">
        <v>233</v>
      </c>
      <c r="B84" s="211">
        <v>35000000</v>
      </c>
      <c r="C84" s="367" t="s">
        <v>115</v>
      </c>
      <c r="D84" s="211"/>
      <c r="E84" s="143"/>
      <c r="H84" s="1488"/>
      <c r="I84" s="1287"/>
      <c r="J84" s="1138"/>
      <c r="L84" s="330">
        <f t="shared" si="11"/>
        <v>4</v>
      </c>
      <c r="M84" s="410">
        <f>M83</f>
        <v>12.790280471088769</v>
      </c>
      <c r="N84" s="331">
        <v>0</v>
      </c>
      <c r="O84" s="410">
        <v>0</v>
      </c>
      <c r="P84" s="410">
        <f t="shared" si="6"/>
        <v>12.790280471088769</v>
      </c>
      <c r="Q84" s="413"/>
      <c r="R84" s="293"/>
      <c r="S84" s="330">
        <f t="shared" si="12"/>
        <v>4</v>
      </c>
      <c r="T84" s="410">
        <f>T83</f>
        <v>12.790280471088769</v>
      </c>
      <c r="U84" s="331">
        <v>0</v>
      </c>
      <c r="V84" s="410">
        <v>0</v>
      </c>
      <c r="W84" s="410">
        <f t="shared" si="7"/>
        <v>12.790280471088769</v>
      </c>
      <c r="X84" s="413"/>
      <c r="Y84" s="293"/>
      <c r="Z84" s="330">
        <f t="shared" si="13"/>
        <v>4</v>
      </c>
      <c r="AA84" s="410">
        <f>AA83</f>
        <v>51.769591537834053</v>
      </c>
      <c r="AB84" s="331">
        <v>0</v>
      </c>
      <c r="AC84" s="410">
        <v>0</v>
      </c>
      <c r="AD84" s="410">
        <f t="shared" si="8"/>
        <v>51.769591537834053</v>
      </c>
      <c r="AE84" s="413"/>
      <c r="AF84" s="293"/>
      <c r="AG84" s="330">
        <f t="shared" si="14"/>
        <v>4</v>
      </c>
      <c r="AH84" s="410">
        <f>AH83</f>
        <v>60</v>
      </c>
      <c r="AI84" s="331">
        <v>0</v>
      </c>
      <c r="AJ84" s="410">
        <v>0</v>
      </c>
      <c r="AK84" s="410">
        <f t="shared" si="9"/>
        <v>60</v>
      </c>
      <c r="AL84" s="413"/>
      <c r="AM84" s="293"/>
      <c r="AN84" s="330">
        <f t="shared" si="15"/>
        <v>4</v>
      </c>
      <c r="AO84" s="410">
        <f>AO83</f>
        <v>4.4349100107797401</v>
      </c>
      <c r="AP84" s="331">
        <v>0</v>
      </c>
      <c r="AQ84" s="410">
        <v>0</v>
      </c>
      <c r="AR84" s="410">
        <f t="shared" si="10"/>
        <v>4.4349100107797401</v>
      </c>
      <c r="AS84" s="413"/>
    </row>
    <row r="85" spans="1:45">
      <c r="A85" s="367" t="s">
        <v>234</v>
      </c>
      <c r="B85" s="211">
        <v>35000000</v>
      </c>
      <c r="C85" s="367" t="s">
        <v>115</v>
      </c>
      <c r="D85" s="211"/>
      <c r="E85" s="143"/>
      <c r="H85" s="1488"/>
      <c r="I85" s="1287"/>
      <c r="J85" s="1138"/>
      <c r="L85" s="330">
        <f t="shared" si="11"/>
        <v>5</v>
      </c>
      <c r="M85" s="410">
        <f>M84</f>
        <v>12.790280471088769</v>
      </c>
      <c r="N85" s="331">
        <v>0</v>
      </c>
      <c r="O85" s="410">
        <v>0</v>
      </c>
      <c r="P85" s="410">
        <f t="shared" si="6"/>
        <v>12.790280471088769</v>
      </c>
      <c r="Q85" s="412"/>
      <c r="R85" s="293"/>
      <c r="S85" s="330">
        <f t="shared" si="12"/>
        <v>5</v>
      </c>
      <c r="T85" s="410">
        <f>T84</f>
        <v>12.790280471088769</v>
      </c>
      <c r="U85" s="331">
        <v>0</v>
      </c>
      <c r="V85" s="410">
        <v>0</v>
      </c>
      <c r="W85" s="410">
        <f t="shared" si="7"/>
        <v>12.790280471088769</v>
      </c>
      <c r="X85" s="412"/>
      <c r="Y85" s="293"/>
      <c r="Z85" s="330">
        <f t="shared" si="13"/>
        <v>5</v>
      </c>
      <c r="AA85" s="410">
        <f>AA84</f>
        <v>51.769591537834053</v>
      </c>
      <c r="AB85" s="331">
        <v>0</v>
      </c>
      <c r="AC85" s="410">
        <v>0</v>
      </c>
      <c r="AD85" s="410">
        <f t="shared" si="8"/>
        <v>51.769591537834053</v>
      </c>
      <c r="AE85" s="412"/>
      <c r="AF85" s="293"/>
      <c r="AG85" s="330">
        <f t="shared" si="14"/>
        <v>5</v>
      </c>
      <c r="AH85" s="410">
        <f>AH84</f>
        <v>60</v>
      </c>
      <c r="AI85" s="331">
        <v>0</v>
      </c>
      <c r="AJ85" s="410">
        <v>0</v>
      </c>
      <c r="AK85" s="410">
        <f t="shared" si="9"/>
        <v>60</v>
      </c>
      <c r="AL85" s="412"/>
      <c r="AM85" s="293"/>
      <c r="AN85" s="330">
        <f t="shared" si="15"/>
        <v>5</v>
      </c>
      <c r="AO85" s="410">
        <f>AO84</f>
        <v>4.4349100107797401</v>
      </c>
      <c r="AP85" s="331">
        <v>0</v>
      </c>
      <c r="AQ85" s="410">
        <v>0</v>
      </c>
      <c r="AR85" s="410">
        <f t="shared" si="10"/>
        <v>4.4349100107797401</v>
      </c>
      <c r="AS85" s="412"/>
    </row>
    <row r="86" spans="1:45" ht="15.75" thickBot="1">
      <c r="A86" s="959" t="s">
        <v>1007</v>
      </c>
      <c r="H86" s="1489"/>
      <c r="I86" s="1490"/>
      <c r="J86" s="1141"/>
      <c r="L86" s="330">
        <f t="shared" si="11"/>
        <v>6</v>
      </c>
      <c r="M86" s="415"/>
      <c r="N86" s="331">
        <v>1</v>
      </c>
      <c r="O86" s="410">
        <f>H76</f>
        <v>1.2</v>
      </c>
      <c r="P86" s="410">
        <f t="shared" si="6"/>
        <v>1.2</v>
      </c>
      <c r="Q86" s="412"/>
      <c r="R86" s="293"/>
      <c r="S86" s="330">
        <f t="shared" si="12"/>
        <v>6</v>
      </c>
      <c r="T86" s="415"/>
      <c r="U86" s="331">
        <v>1</v>
      </c>
      <c r="V86" s="410">
        <f>H72</f>
        <v>0.5</v>
      </c>
      <c r="W86" s="410">
        <f t="shared" si="7"/>
        <v>0.5</v>
      </c>
      <c r="X86" s="412"/>
      <c r="Y86" s="293"/>
      <c r="Z86" s="330">
        <f t="shared" si="13"/>
        <v>6</v>
      </c>
      <c r="AA86" s="415"/>
      <c r="AB86" s="331">
        <v>1</v>
      </c>
      <c r="AC86" s="410">
        <f>H73</f>
        <v>4.5</v>
      </c>
      <c r="AD86" s="410">
        <f t="shared" si="8"/>
        <v>4.5</v>
      </c>
      <c r="AE86" s="412"/>
      <c r="AF86" s="293"/>
      <c r="AG86" s="330">
        <f t="shared" si="14"/>
        <v>6</v>
      </c>
      <c r="AH86" s="415"/>
      <c r="AI86" s="331">
        <v>1</v>
      </c>
      <c r="AJ86" s="410">
        <f>H74</f>
        <v>5</v>
      </c>
      <c r="AK86" s="410">
        <f t="shared" si="9"/>
        <v>5</v>
      </c>
      <c r="AL86" s="412"/>
      <c r="AM86" s="293"/>
      <c r="AN86" s="330">
        <f t="shared" si="15"/>
        <v>6</v>
      </c>
      <c r="AO86" s="415"/>
      <c r="AP86" s="331">
        <v>1</v>
      </c>
      <c r="AQ86" s="410">
        <f>H75</f>
        <v>1.3</v>
      </c>
      <c r="AR86" s="410">
        <f t="shared" si="10"/>
        <v>1.3</v>
      </c>
      <c r="AS86" s="412"/>
    </row>
    <row r="87" spans="1:45">
      <c r="A87" s="959" t="s">
        <v>1008</v>
      </c>
      <c r="D87" s="373" t="s">
        <v>714</v>
      </c>
      <c r="E87" s="211">
        <f>-PV(B78,4,,B84,0)-PV(B78,5,,B85,0)</f>
        <v>53877314.263642699</v>
      </c>
      <c r="F87" s="367" t="s">
        <v>115</v>
      </c>
      <c r="G87" s="49" t="s">
        <v>378</v>
      </c>
      <c r="L87" s="330">
        <f t="shared" si="11"/>
        <v>7</v>
      </c>
      <c r="M87" s="416"/>
      <c r="N87" s="331">
        <f>N86+1</f>
        <v>2</v>
      </c>
      <c r="O87" s="410">
        <f t="shared" ref="O87:O105" si="16">O86</f>
        <v>1.2</v>
      </c>
      <c r="P87" s="410">
        <f t="shared" si="6"/>
        <v>1.2</v>
      </c>
      <c r="Q87" s="413"/>
      <c r="R87" s="293"/>
      <c r="S87" s="330">
        <f t="shared" si="12"/>
        <v>7</v>
      </c>
      <c r="T87" s="416"/>
      <c r="U87" s="331">
        <f>U86+1</f>
        <v>2</v>
      </c>
      <c r="V87" s="410">
        <f t="shared" ref="V87:V105" si="17">V86</f>
        <v>0.5</v>
      </c>
      <c r="W87" s="410">
        <f t="shared" si="7"/>
        <v>0.5</v>
      </c>
      <c r="X87" s="413"/>
      <c r="Y87" s="293"/>
      <c r="Z87" s="330">
        <f t="shared" si="13"/>
        <v>7</v>
      </c>
      <c r="AA87" s="416"/>
      <c r="AB87" s="331">
        <f>AB86+1</f>
        <v>2</v>
      </c>
      <c r="AC87" s="410">
        <f t="shared" ref="AC87:AC105" si="18">AC86</f>
        <v>4.5</v>
      </c>
      <c r="AD87" s="410">
        <f t="shared" si="8"/>
        <v>4.5</v>
      </c>
      <c r="AE87" s="413"/>
      <c r="AF87" s="293"/>
      <c r="AG87" s="330">
        <f t="shared" si="14"/>
        <v>7</v>
      </c>
      <c r="AH87" s="416"/>
      <c r="AI87" s="331">
        <f>AI86+1</f>
        <v>2</v>
      </c>
      <c r="AJ87" s="410">
        <f t="shared" ref="AJ87:AJ105" si="19">AJ86</f>
        <v>5</v>
      </c>
      <c r="AK87" s="410">
        <f t="shared" si="9"/>
        <v>5</v>
      </c>
      <c r="AL87" s="413"/>
      <c r="AM87" s="293"/>
      <c r="AN87" s="330">
        <f t="shared" si="15"/>
        <v>7</v>
      </c>
      <c r="AO87" s="416"/>
      <c r="AP87" s="331">
        <f>AP86+1</f>
        <v>2</v>
      </c>
      <c r="AQ87" s="410">
        <f t="shared" ref="AQ87:AQ105" si="20">AQ86</f>
        <v>1.3</v>
      </c>
      <c r="AR87" s="410">
        <f t="shared" si="10"/>
        <v>1.3</v>
      </c>
      <c r="AS87" s="413"/>
    </row>
    <row r="88" spans="1:45">
      <c r="A88" s="959" t="s">
        <v>1009</v>
      </c>
      <c r="D88" s="1114" t="s">
        <v>1010</v>
      </c>
      <c r="E88" s="1114"/>
      <c r="F88" s="1114"/>
      <c r="G88" s="1114"/>
      <c r="H88" s="1114"/>
      <c r="I88" s="1114"/>
      <c r="J88" s="960"/>
      <c r="L88" s="330">
        <f t="shared" si="11"/>
        <v>8</v>
      </c>
      <c r="M88" s="416"/>
      <c r="N88" s="331">
        <f t="shared" ref="N88:N135" si="21">N87+1</f>
        <v>3</v>
      </c>
      <c r="O88" s="410">
        <f t="shared" si="16"/>
        <v>1.2</v>
      </c>
      <c r="P88" s="410">
        <f t="shared" si="6"/>
        <v>1.2</v>
      </c>
      <c r="Q88" s="413"/>
      <c r="R88" s="293"/>
      <c r="S88" s="330">
        <f t="shared" si="12"/>
        <v>8</v>
      </c>
      <c r="T88" s="416"/>
      <c r="U88" s="331">
        <f t="shared" ref="U88:U135" si="22">U87+1</f>
        <v>3</v>
      </c>
      <c r="V88" s="410">
        <f t="shared" si="17"/>
        <v>0.5</v>
      </c>
      <c r="W88" s="410">
        <f t="shared" si="7"/>
        <v>0.5</v>
      </c>
      <c r="X88" s="413"/>
      <c r="Y88" s="293"/>
      <c r="Z88" s="330">
        <f t="shared" si="13"/>
        <v>8</v>
      </c>
      <c r="AA88" s="416"/>
      <c r="AB88" s="331">
        <f t="shared" ref="AB88:AB135" si="23">AB87+1</f>
        <v>3</v>
      </c>
      <c r="AC88" s="410">
        <f t="shared" si="18"/>
        <v>4.5</v>
      </c>
      <c r="AD88" s="410">
        <f t="shared" si="8"/>
        <v>4.5</v>
      </c>
      <c r="AE88" s="413"/>
      <c r="AF88" s="293"/>
      <c r="AG88" s="330">
        <f t="shared" si="14"/>
        <v>8</v>
      </c>
      <c r="AH88" s="416"/>
      <c r="AI88" s="331">
        <f t="shared" ref="AI88:AI135" si="24">AI87+1</f>
        <v>3</v>
      </c>
      <c r="AJ88" s="410">
        <f t="shared" si="19"/>
        <v>5</v>
      </c>
      <c r="AK88" s="410">
        <f t="shared" si="9"/>
        <v>5</v>
      </c>
      <c r="AL88" s="413"/>
      <c r="AM88" s="293"/>
      <c r="AN88" s="330">
        <f t="shared" si="15"/>
        <v>8</v>
      </c>
      <c r="AO88" s="416"/>
      <c r="AP88" s="331">
        <f t="shared" ref="AP88:AP135" si="25">AP87+1</f>
        <v>3</v>
      </c>
      <c r="AQ88" s="410">
        <f t="shared" si="20"/>
        <v>1.3</v>
      </c>
      <c r="AR88" s="410">
        <f t="shared" si="10"/>
        <v>1.3</v>
      </c>
      <c r="AS88" s="413"/>
    </row>
    <row r="89" spans="1:45">
      <c r="D89" s="1114"/>
      <c r="E89" s="1114"/>
      <c r="F89" s="1114"/>
      <c r="G89" s="1114"/>
      <c r="H89" s="1114"/>
      <c r="I89" s="1114"/>
      <c r="J89" s="960"/>
      <c r="L89" s="330">
        <f t="shared" si="11"/>
        <v>9</v>
      </c>
      <c r="M89" s="416"/>
      <c r="N89" s="331">
        <f t="shared" si="21"/>
        <v>4</v>
      </c>
      <c r="O89" s="410">
        <f t="shared" si="16"/>
        <v>1.2</v>
      </c>
      <c r="P89" s="410">
        <f t="shared" si="6"/>
        <v>1.2</v>
      </c>
      <c r="Q89" s="413"/>
      <c r="R89" s="293"/>
      <c r="S89" s="330">
        <f t="shared" si="12"/>
        <v>9</v>
      </c>
      <c r="T89" s="416"/>
      <c r="U89" s="331">
        <f t="shared" si="22"/>
        <v>4</v>
      </c>
      <c r="V89" s="410">
        <f t="shared" si="17"/>
        <v>0.5</v>
      </c>
      <c r="W89" s="410">
        <f t="shared" si="7"/>
        <v>0.5</v>
      </c>
      <c r="X89" s="413"/>
      <c r="Y89" s="293"/>
      <c r="Z89" s="330">
        <f t="shared" si="13"/>
        <v>9</v>
      </c>
      <c r="AA89" s="416"/>
      <c r="AB89" s="331">
        <f t="shared" si="23"/>
        <v>4</v>
      </c>
      <c r="AC89" s="410">
        <f t="shared" si="18"/>
        <v>4.5</v>
      </c>
      <c r="AD89" s="410">
        <f t="shared" si="8"/>
        <v>4.5</v>
      </c>
      <c r="AE89" s="413"/>
      <c r="AF89" s="293"/>
      <c r="AG89" s="330">
        <f t="shared" si="14"/>
        <v>9</v>
      </c>
      <c r="AH89" s="416"/>
      <c r="AI89" s="331">
        <f t="shared" si="24"/>
        <v>4</v>
      </c>
      <c r="AJ89" s="410">
        <f t="shared" si="19"/>
        <v>5</v>
      </c>
      <c r="AK89" s="410">
        <f t="shared" si="9"/>
        <v>5</v>
      </c>
      <c r="AL89" s="413"/>
      <c r="AM89" s="293"/>
      <c r="AN89" s="330">
        <f t="shared" si="15"/>
        <v>9</v>
      </c>
      <c r="AO89" s="416"/>
      <c r="AP89" s="331">
        <f t="shared" si="25"/>
        <v>4</v>
      </c>
      <c r="AQ89" s="410">
        <f t="shared" si="20"/>
        <v>1.3</v>
      </c>
      <c r="AR89" s="410">
        <f t="shared" si="10"/>
        <v>1.3</v>
      </c>
      <c r="AS89" s="413"/>
    </row>
    <row r="90" spans="1:45">
      <c r="B90" s="110"/>
      <c r="D90" s="1114"/>
      <c r="E90" s="1114"/>
      <c r="F90" s="1114"/>
      <c r="G90" s="1114"/>
      <c r="H90" s="1114"/>
      <c r="I90" s="1114"/>
      <c r="J90" s="960"/>
      <c r="L90" s="330">
        <f t="shared" si="11"/>
        <v>10</v>
      </c>
      <c r="M90" s="416"/>
      <c r="N90" s="331">
        <f t="shared" si="21"/>
        <v>5</v>
      </c>
      <c r="O90" s="410">
        <f t="shared" si="16"/>
        <v>1.2</v>
      </c>
      <c r="P90" s="410">
        <f t="shared" si="6"/>
        <v>1.2</v>
      </c>
      <c r="Q90" s="413"/>
      <c r="R90" s="293"/>
      <c r="S90" s="330">
        <f t="shared" si="12"/>
        <v>10</v>
      </c>
      <c r="T90" s="416"/>
      <c r="U90" s="331">
        <f t="shared" si="22"/>
        <v>5</v>
      </c>
      <c r="V90" s="410">
        <f t="shared" si="17"/>
        <v>0.5</v>
      </c>
      <c r="W90" s="410">
        <f t="shared" si="7"/>
        <v>0.5</v>
      </c>
      <c r="X90" s="413"/>
      <c r="Y90" s="293"/>
      <c r="Z90" s="330">
        <f t="shared" si="13"/>
        <v>10</v>
      </c>
      <c r="AA90" s="416"/>
      <c r="AB90" s="331">
        <f t="shared" si="23"/>
        <v>5</v>
      </c>
      <c r="AC90" s="410">
        <f t="shared" si="18"/>
        <v>4.5</v>
      </c>
      <c r="AD90" s="410">
        <f t="shared" si="8"/>
        <v>4.5</v>
      </c>
      <c r="AE90" s="413"/>
      <c r="AF90" s="293"/>
      <c r="AG90" s="330">
        <f t="shared" si="14"/>
        <v>10</v>
      </c>
      <c r="AH90" s="416"/>
      <c r="AI90" s="331">
        <f t="shared" si="24"/>
        <v>5</v>
      </c>
      <c r="AJ90" s="410">
        <f t="shared" si="19"/>
        <v>5</v>
      </c>
      <c r="AK90" s="410">
        <f t="shared" si="9"/>
        <v>5</v>
      </c>
      <c r="AL90" s="413"/>
      <c r="AM90" s="293"/>
      <c r="AN90" s="330">
        <f t="shared" si="15"/>
        <v>10</v>
      </c>
      <c r="AO90" s="416"/>
      <c r="AP90" s="331">
        <f t="shared" si="25"/>
        <v>5</v>
      </c>
      <c r="AQ90" s="410">
        <f t="shared" si="20"/>
        <v>1.3</v>
      </c>
      <c r="AR90" s="410">
        <f t="shared" si="10"/>
        <v>1.3</v>
      </c>
      <c r="AS90" s="413"/>
    </row>
    <row r="91" spans="1:45">
      <c r="D91" s="959" t="s">
        <v>1017</v>
      </c>
      <c r="F91" s="1423">
        <f>-PV(B78,D76,(H76*10^6),,0)</f>
        <v>13763905.462278314</v>
      </c>
      <c r="G91" s="1423"/>
      <c r="H91" s="367" t="s">
        <v>115</v>
      </c>
      <c r="L91" s="330">
        <f t="shared" si="11"/>
        <v>11</v>
      </c>
      <c r="M91" s="416"/>
      <c r="N91" s="331">
        <f t="shared" si="21"/>
        <v>6</v>
      </c>
      <c r="O91" s="410">
        <f t="shared" si="16"/>
        <v>1.2</v>
      </c>
      <c r="P91" s="410">
        <f t="shared" si="6"/>
        <v>1.2</v>
      </c>
      <c r="Q91" s="413"/>
      <c r="R91" s="293"/>
      <c r="S91" s="330">
        <f t="shared" si="12"/>
        <v>11</v>
      </c>
      <c r="T91" s="416"/>
      <c r="U91" s="331">
        <f t="shared" si="22"/>
        <v>6</v>
      </c>
      <c r="V91" s="410">
        <f t="shared" si="17"/>
        <v>0.5</v>
      </c>
      <c r="W91" s="410">
        <f t="shared" si="7"/>
        <v>0.5</v>
      </c>
      <c r="X91" s="413"/>
      <c r="Y91" s="293"/>
      <c r="Z91" s="330">
        <f t="shared" si="13"/>
        <v>11</v>
      </c>
      <c r="AA91" s="416"/>
      <c r="AB91" s="331">
        <f t="shared" si="23"/>
        <v>6</v>
      </c>
      <c r="AC91" s="410">
        <f t="shared" si="18"/>
        <v>4.5</v>
      </c>
      <c r="AD91" s="410">
        <f t="shared" si="8"/>
        <v>4.5</v>
      </c>
      <c r="AE91" s="413"/>
      <c r="AF91" s="293"/>
      <c r="AG91" s="330">
        <f t="shared" si="14"/>
        <v>11</v>
      </c>
      <c r="AH91" s="416"/>
      <c r="AI91" s="331">
        <f t="shared" si="24"/>
        <v>6</v>
      </c>
      <c r="AJ91" s="410">
        <f t="shared" si="19"/>
        <v>5</v>
      </c>
      <c r="AK91" s="410">
        <f t="shared" si="9"/>
        <v>5</v>
      </c>
      <c r="AL91" s="413"/>
      <c r="AM91" s="293"/>
      <c r="AN91" s="330">
        <f t="shared" si="15"/>
        <v>11</v>
      </c>
      <c r="AO91" s="416"/>
      <c r="AP91" s="331">
        <f t="shared" si="25"/>
        <v>6</v>
      </c>
      <c r="AQ91" s="410">
        <f t="shared" si="20"/>
        <v>1.3</v>
      </c>
      <c r="AR91" s="410">
        <f t="shared" si="10"/>
        <v>1.3</v>
      </c>
      <c r="AS91" s="413"/>
    </row>
    <row r="92" spans="1:45">
      <c r="D92" s="527" t="s">
        <v>1018</v>
      </c>
      <c r="F92" s="1423">
        <f>-PV(B78,5,,F91,0)</f>
        <v>10285190.847243233</v>
      </c>
      <c r="G92" s="1423"/>
      <c r="H92" s="367" t="s">
        <v>115</v>
      </c>
      <c r="L92" s="330">
        <f t="shared" si="11"/>
        <v>12</v>
      </c>
      <c r="M92" s="416"/>
      <c r="N92" s="331">
        <f t="shared" si="21"/>
        <v>7</v>
      </c>
      <c r="O92" s="410">
        <f t="shared" si="16"/>
        <v>1.2</v>
      </c>
      <c r="P92" s="410">
        <f t="shared" si="6"/>
        <v>1.2</v>
      </c>
      <c r="Q92" s="413"/>
      <c r="R92" s="293"/>
      <c r="S92" s="330">
        <f t="shared" si="12"/>
        <v>12</v>
      </c>
      <c r="T92" s="416"/>
      <c r="U92" s="331">
        <f t="shared" si="22"/>
        <v>7</v>
      </c>
      <c r="V92" s="410">
        <f t="shared" si="17"/>
        <v>0.5</v>
      </c>
      <c r="W92" s="410">
        <f t="shared" si="7"/>
        <v>0.5</v>
      </c>
      <c r="X92" s="413"/>
      <c r="Y92" s="293"/>
      <c r="Z92" s="330">
        <f t="shared" si="13"/>
        <v>12</v>
      </c>
      <c r="AA92" s="416"/>
      <c r="AB92" s="331">
        <f t="shared" si="23"/>
        <v>7</v>
      </c>
      <c r="AC92" s="410">
        <f t="shared" si="18"/>
        <v>4.5</v>
      </c>
      <c r="AD92" s="410">
        <f t="shared" si="8"/>
        <v>4.5</v>
      </c>
      <c r="AE92" s="413"/>
      <c r="AF92" s="293"/>
      <c r="AG92" s="330">
        <f t="shared" si="14"/>
        <v>12</v>
      </c>
      <c r="AH92" s="416"/>
      <c r="AI92" s="331">
        <f t="shared" si="24"/>
        <v>7</v>
      </c>
      <c r="AJ92" s="410">
        <f t="shared" si="19"/>
        <v>5</v>
      </c>
      <c r="AK92" s="410">
        <f t="shared" si="9"/>
        <v>5</v>
      </c>
      <c r="AL92" s="413"/>
      <c r="AM92" s="293"/>
      <c r="AN92" s="330">
        <f t="shared" si="15"/>
        <v>12</v>
      </c>
      <c r="AO92" s="416"/>
      <c r="AP92" s="331">
        <f t="shared" si="25"/>
        <v>7</v>
      </c>
      <c r="AQ92" s="410">
        <f t="shared" si="20"/>
        <v>1.3</v>
      </c>
      <c r="AR92" s="410">
        <f t="shared" si="10"/>
        <v>1.3</v>
      </c>
      <c r="AS92" s="413"/>
    </row>
    <row r="93" spans="1:45">
      <c r="L93" s="330">
        <f t="shared" si="11"/>
        <v>13</v>
      </c>
      <c r="M93" s="416"/>
      <c r="N93" s="331">
        <f t="shared" si="21"/>
        <v>8</v>
      </c>
      <c r="O93" s="410">
        <f t="shared" si="16"/>
        <v>1.2</v>
      </c>
      <c r="P93" s="410">
        <f t="shared" si="6"/>
        <v>1.2</v>
      </c>
      <c r="Q93" s="413"/>
      <c r="R93" s="293"/>
      <c r="S93" s="330">
        <f t="shared" si="12"/>
        <v>13</v>
      </c>
      <c r="T93" s="416"/>
      <c r="U93" s="331">
        <f t="shared" si="22"/>
        <v>8</v>
      </c>
      <c r="V93" s="410">
        <f t="shared" si="17"/>
        <v>0.5</v>
      </c>
      <c r="W93" s="410">
        <f t="shared" si="7"/>
        <v>0.5</v>
      </c>
      <c r="X93" s="413"/>
      <c r="Y93" s="293"/>
      <c r="Z93" s="330">
        <f t="shared" si="13"/>
        <v>13</v>
      </c>
      <c r="AA93" s="416"/>
      <c r="AB93" s="331">
        <f t="shared" si="23"/>
        <v>8</v>
      </c>
      <c r="AC93" s="410">
        <f t="shared" si="18"/>
        <v>4.5</v>
      </c>
      <c r="AD93" s="410">
        <f t="shared" si="8"/>
        <v>4.5</v>
      </c>
      <c r="AE93" s="413"/>
      <c r="AF93" s="293"/>
      <c r="AG93" s="330">
        <f t="shared" si="14"/>
        <v>13</v>
      </c>
      <c r="AH93" s="416"/>
      <c r="AI93" s="331">
        <f t="shared" si="24"/>
        <v>8</v>
      </c>
      <c r="AJ93" s="410">
        <f t="shared" si="19"/>
        <v>5</v>
      </c>
      <c r="AK93" s="410">
        <f t="shared" si="9"/>
        <v>5</v>
      </c>
      <c r="AL93" s="413"/>
      <c r="AM93" s="293"/>
      <c r="AN93" s="330">
        <f t="shared" si="15"/>
        <v>13</v>
      </c>
      <c r="AO93" s="416"/>
      <c r="AP93" s="331">
        <f t="shared" si="25"/>
        <v>8</v>
      </c>
      <c r="AQ93" s="410">
        <f t="shared" si="20"/>
        <v>1.3</v>
      </c>
      <c r="AR93" s="410">
        <f t="shared" si="10"/>
        <v>1.3</v>
      </c>
      <c r="AS93" s="413"/>
    </row>
    <row r="94" spans="1:45">
      <c r="A94" s="1424" t="s">
        <v>1012</v>
      </c>
      <c r="B94" s="1030"/>
      <c r="C94" s="1030"/>
      <c r="D94" s="1425">
        <f>E87+F92</f>
        <v>64162505.110885933</v>
      </c>
      <c r="E94" s="1425"/>
      <c r="F94" s="369" t="s">
        <v>115</v>
      </c>
      <c r="G94" s="92" t="s">
        <v>378</v>
      </c>
      <c r="H94" s="417"/>
      <c r="I94" s="418"/>
      <c r="J94" s="418"/>
      <c r="K94" s="419"/>
      <c r="L94" s="330">
        <f t="shared" si="11"/>
        <v>14</v>
      </c>
      <c r="M94" s="416"/>
      <c r="N94" s="331">
        <f t="shared" si="21"/>
        <v>9</v>
      </c>
      <c r="O94" s="410">
        <f t="shared" si="16"/>
        <v>1.2</v>
      </c>
      <c r="P94" s="410">
        <f t="shared" si="6"/>
        <v>1.2</v>
      </c>
      <c r="Q94" s="413"/>
      <c r="R94" s="293"/>
      <c r="S94" s="330">
        <f t="shared" si="12"/>
        <v>14</v>
      </c>
      <c r="T94" s="416"/>
      <c r="U94" s="331">
        <f t="shared" si="22"/>
        <v>9</v>
      </c>
      <c r="V94" s="410">
        <f t="shared" si="17"/>
        <v>0.5</v>
      </c>
      <c r="W94" s="410">
        <f t="shared" si="7"/>
        <v>0.5</v>
      </c>
      <c r="X94" s="413"/>
      <c r="Y94" s="293"/>
      <c r="Z94" s="330">
        <f t="shared" si="13"/>
        <v>14</v>
      </c>
      <c r="AA94" s="416"/>
      <c r="AB94" s="331">
        <f t="shared" si="23"/>
        <v>9</v>
      </c>
      <c r="AC94" s="410">
        <f t="shared" si="18"/>
        <v>4.5</v>
      </c>
      <c r="AD94" s="410">
        <f t="shared" si="8"/>
        <v>4.5</v>
      </c>
      <c r="AE94" s="413"/>
      <c r="AF94" s="293"/>
      <c r="AG94" s="330">
        <f t="shared" si="14"/>
        <v>14</v>
      </c>
      <c r="AH94" s="416"/>
      <c r="AI94" s="331">
        <f t="shared" si="24"/>
        <v>9</v>
      </c>
      <c r="AJ94" s="410">
        <f t="shared" si="19"/>
        <v>5</v>
      </c>
      <c r="AK94" s="410">
        <f t="shared" si="9"/>
        <v>5</v>
      </c>
      <c r="AL94" s="413"/>
      <c r="AM94" s="293"/>
      <c r="AN94" s="330">
        <f t="shared" si="15"/>
        <v>14</v>
      </c>
      <c r="AO94" s="416"/>
      <c r="AP94" s="331">
        <f t="shared" si="25"/>
        <v>9</v>
      </c>
      <c r="AQ94" s="410">
        <f t="shared" si="20"/>
        <v>1.3</v>
      </c>
      <c r="AR94" s="410">
        <f t="shared" si="10"/>
        <v>1.3</v>
      </c>
      <c r="AS94" s="413"/>
    </row>
    <row r="95" spans="1:45">
      <c r="A95" s="1032" t="s">
        <v>374</v>
      </c>
      <c r="B95" s="1033"/>
      <c r="C95" s="1033"/>
      <c r="D95" s="1426">
        <f>D94/(C76*1000)</f>
        <v>1283.2501022177187</v>
      </c>
      <c r="E95" s="1426"/>
      <c r="F95" s="364" t="s">
        <v>375</v>
      </c>
      <c r="G95" s="94" t="s">
        <v>378</v>
      </c>
      <c r="H95" s="417"/>
      <c r="I95" s="418"/>
      <c r="J95" s="418"/>
      <c r="K95" s="419"/>
      <c r="L95" s="330">
        <f t="shared" si="11"/>
        <v>15</v>
      </c>
      <c r="M95" s="416"/>
      <c r="N95" s="331">
        <f t="shared" si="21"/>
        <v>10</v>
      </c>
      <c r="O95" s="410">
        <f t="shared" si="16"/>
        <v>1.2</v>
      </c>
      <c r="P95" s="410">
        <f t="shared" si="6"/>
        <v>1.2</v>
      </c>
      <c r="Q95" s="413"/>
      <c r="R95" s="293"/>
      <c r="S95" s="330">
        <f t="shared" si="12"/>
        <v>15</v>
      </c>
      <c r="T95" s="416"/>
      <c r="U95" s="331">
        <f t="shared" si="22"/>
        <v>10</v>
      </c>
      <c r="V95" s="410">
        <f t="shared" si="17"/>
        <v>0.5</v>
      </c>
      <c r="W95" s="410">
        <f t="shared" si="7"/>
        <v>0.5</v>
      </c>
      <c r="X95" s="413"/>
      <c r="Y95" s="293"/>
      <c r="Z95" s="330">
        <f t="shared" si="13"/>
        <v>15</v>
      </c>
      <c r="AA95" s="416"/>
      <c r="AB95" s="331">
        <f t="shared" si="23"/>
        <v>10</v>
      </c>
      <c r="AC95" s="410">
        <f t="shared" si="18"/>
        <v>4.5</v>
      </c>
      <c r="AD95" s="410">
        <f t="shared" si="8"/>
        <v>4.5</v>
      </c>
      <c r="AE95" s="413"/>
      <c r="AF95" s="293"/>
      <c r="AG95" s="330">
        <f t="shared" si="14"/>
        <v>15</v>
      </c>
      <c r="AH95" s="416"/>
      <c r="AI95" s="331">
        <f t="shared" si="24"/>
        <v>10</v>
      </c>
      <c r="AJ95" s="410">
        <f t="shared" si="19"/>
        <v>5</v>
      </c>
      <c r="AK95" s="410">
        <f t="shared" si="9"/>
        <v>5</v>
      </c>
      <c r="AL95" s="413"/>
      <c r="AM95" s="293"/>
      <c r="AN95" s="330">
        <f t="shared" si="15"/>
        <v>15</v>
      </c>
      <c r="AO95" s="416"/>
      <c r="AP95" s="331">
        <f t="shared" si="25"/>
        <v>10</v>
      </c>
      <c r="AQ95" s="410">
        <f t="shared" si="20"/>
        <v>1.3</v>
      </c>
      <c r="AR95" s="410">
        <f t="shared" si="10"/>
        <v>1.3</v>
      </c>
      <c r="AS95" s="413"/>
    </row>
    <row r="96" spans="1:45">
      <c r="A96" s="1143" t="s">
        <v>377</v>
      </c>
      <c r="B96" s="1144"/>
      <c r="C96" s="1144"/>
      <c r="D96" s="1428">
        <f>-PMT($B$78,D76,D95,,0)</f>
        <v>111.87959165235114</v>
      </c>
      <c r="E96" s="1428"/>
      <c r="F96" s="365" t="s">
        <v>376</v>
      </c>
      <c r="G96" s="98" t="s">
        <v>379</v>
      </c>
      <c r="H96" s="417"/>
      <c r="I96" s="418"/>
      <c r="J96" s="418"/>
      <c r="K96" s="419"/>
      <c r="L96" s="330">
        <f t="shared" si="11"/>
        <v>16</v>
      </c>
      <c r="M96" s="416"/>
      <c r="N96" s="331">
        <f t="shared" si="21"/>
        <v>11</v>
      </c>
      <c r="O96" s="410">
        <f t="shared" si="16"/>
        <v>1.2</v>
      </c>
      <c r="P96" s="410">
        <f t="shared" si="6"/>
        <v>1.2</v>
      </c>
      <c r="Q96" s="413"/>
      <c r="R96" s="293"/>
      <c r="S96" s="330">
        <f t="shared" si="12"/>
        <v>16</v>
      </c>
      <c r="T96" s="416"/>
      <c r="U96" s="331">
        <f t="shared" si="22"/>
        <v>11</v>
      </c>
      <c r="V96" s="410">
        <f t="shared" si="17"/>
        <v>0.5</v>
      </c>
      <c r="W96" s="410">
        <f t="shared" si="7"/>
        <v>0.5</v>
      </c>
      <c r="X96" s="413"/>
      <c r="Y96" s="293"/>
      <c r="Z96" s="330">
        <f t="shared" si="13"/>
        <v>16</v>
      </c>
      <c r="AA96" s="416"/>
      <c r="AB96" s="331">
        <f t="shared" si="23"/>
        <v>11</v>
      </c>
      <c r="AC96" s="410">
        <f t="shared" si="18"/>
        <v>4.5</v>
      </c>
      <c r="AD96" s="410">
        <f t="shared" si="8"/>
        <v>4.5</v>
      </c>
      <c r="AE96" s="413"/>
      <c r="AF96" s="293"/>
      <c r="AG96" s="330">
        <f t="shared" si="14"/>
        <v>16</v>
      </c>
      <c r="AH96" s="416"/>
      <c r="AI96" s="331">
        <f t="shared" si="24"/>
        <v>11</v>
      </c>
      <c r="AJ96" s="410">
        <f t="shared" si="19"/>
        <v>5</v>
      </c>
      <c r="AK96" s="410">
        <f t="shared" si="9"/>
        <v>5</v>
      </c>
      <c r="AL96" s="413"/>
      <c r="AM96" s="293"/>
      <c r="AN96" s="330">
        <f t="shared" si="15"/>
        <v>16</v>
      </c>
      <c r="AO96" s="416"/>
      <c r="AP96" s="331">
        <f t="shared" si="25"/>
        <v>11</v>
      </c>
      <c r="AQ96" s="410">
        <f t="shared" si="20"/>
        <v>1.3</v>
      </c>
      <c r="AR96" s="410">
        <f t="shared" si="10"/>
        <v>1.3</v>
      </c>
      <c r="AS96" s="413"/>
    </row>
    <row r="97" spans="1:45">
      <c r="A97" s="87"/>
      <c r="B97" s="87"/>
      <c r="C97" s="87"/>
      <c r="D97" s="1427"/>
      <c r="E97" s="1427"/>
      <c r="F97" s="87"/>
      <c r="G97" s="205"/>
      <c r="H97" s="87"/>
      <c r="I97" s="87"/>
      <c r="J97" s="87"/>
      <c r="L97" s="330">
        <f t="shared" si="11"/>
        <v>17</v>
      </c>
      <c r="M97" s="416"/>
      <c r="N97" s="331">
        <f t="shared" si="21"/>
        <v>12</v>
      </c>
      <c r="O97" s="410">
        <f t="shared" si="16"/>
        <v>1.2</v>
      </c>
      <c r="P97" s="410">
        <f t="shared" si="6"/>
        <v>1.2</v>
      </c>
      <c r="Q97" s="413"/>
      <c r="R97" s="293"/>
      <c r="S97" s="330">
        <f t="shared" si="12"/>
        <v>17</v>
      </c>
      <c r="T97" s="416"/>
      <c r="U97" s="331">
        <f t="shared" si="22"/>
        <v>12</v>
      </c>
      <c r="V97" s="410">
        <f t="shared" si="17"/>
        <v>0.5</v>
      </c>
      <c r="W97" s="410">
        <f t="shared" si="7"/>
        <v>0.5</v>
      </c>
      <c r="X97" s="413"/>
      <c r="Y97" s="293"/>
      <c r="Z97" s="330">
        <f t="shared" si="13"/>
        <v>17</v>
      </c>
      <c r="AA97" s="416"/>
      <c r="AB97" s="331">
        <f t="shared" si="23"/>
        <v>12</v>
      </c>
      <c r="AC97" s="410">
        <f t="shared" si="18"/>
        <v>4.5</v>
      </c>
      <c r="AD97" s="410">
        <f t="shared" si="8"/>
        <v>4.5</v>
      </c>
      <c r="AE97" s="413"/>
      <c r="AF97" s="293"/>
      <c r="AG97" s="330">
        <f t="shared" si="14"/>
        <v>17</v>
      </c>
      <c r="AH97" s="416"/>
      <c r="AI97" s="331">
        <f t="shared" si="24"/>
        <v>12</v>
      </c>
      <c r="AJ97" s="410">
        <f t="shared" si="19"/>
        <v>5</v>
      </c>
      <c r="AK97" s="410">
        <f t="shared" si="9"/>
        <v>5</v>
      </c>
      <c r="AL97" s="413"/>
      <c r="AM97" s="293"/>
      <c r="AN97" s="330">
        <f t="shared" si="15"/>
        <v>17</v>
      </c>
      <c r="AO97" s="416"/>
      <c r="AP97" s="331">
        <f t="shared" si="25"/>
        <v>12</v>
      </c>
      <c r="AQ97" s="410">
        <f t="shared" si="20"/>
        <v>1.3</v>
      </c>
      <c r="AR97" s="410">
        <f t="shared" si="10"/>
        <v>1.3</v>
      </c>
      <c r="AS97" s="413"/>
    </row>
    <row r="98" spans="1:45">
      <c r="A98" s="1099" t="s">
        <v>1014</v>
      </c>
      <c r="B98" s="1100"/>
      <c r="C98" s="1100"/>
      <c r="D98" s="1100"/>
      <c r="E98" s="1100"/>
      <c r="F98" s="1100"/>
      <c r="G98" s="1100"/>
      <c r="H98" s="1100"/>
      <c r="I98" s="1100"/>
      <c r="J98" s="1100"/>
      <c r="L98" s="330">
        <f t="shared" si="11"/>
        <v>18</v>
      </c>
      <c r="M98" s="416"/>
      <c r="N98" s="331">
        <f t="shared" si="21"/>
        <v>13</v>
      </c>
      <c r="O98" s="410">
        <f t="shared" si="16"/>
        <v>1.2</v>
      </c>
      <c r="P98" s="410">
        <f t="shared" si="6"/>
        <v>1.2</v>
      </c>
      <c r="Q98" s="413"/>
      <c r="R98" s="293"/>
      <c r="S98" s="330">
        <f t="shared" si="12"/>
        <v>18</v>
      </c>
      <c r="T98" s="416"/>
      <c r="U98" s="331">
        <f t="shared" si="22"/>
        <v>13</v>
      </c>
      <c r="V98" s="410">
        <f t="shared" si="17"/>
        <v>0.5</v>
      </c>
      <c r="W98" s="410">
        <f t="shared" si="7"/>
        <v>0.5</v>
      </c>
      <c r="X98" s="413"/>
      <c r="Y98" s="293"/>
      <c r="Z98" s="330">
        <f t="shared" si="13"/>
        <v>18</v>
      </c>
      <c r="AA98" s="416"/>
      <c r="AB98" s="331">
        <f t="shared" si="23"/>
        <v>13</v>
      </c>
      <c r="AC98" s="410">
        <f t="shared" si="18"/>
        <v>4.5</v>
      </c>
      <c r="AD98" s="410">
        <f t="shared" si="8"/>
        <v>4.5</v>
      </c>
      <c r="AE98" s="413"/>
      <c r="AF98" s="293"/>
      <c r="AG98" s="330">
        <f t="shared" si="14"/>
        <v>18</v>
      </c>
      <c r="AH98" s="416"/>
      <c r="AI98" s="331">
        <f t="shared" si="24"/>
        <v>13</v>
      </c>
      <c r="AJ98" s="410">
        <f t="shared" si="19"/>
        <v>5</v>
      </c>
      <c r="AK98" s="410">
        <f t="shared" si="9"/>
        <v>5</v>
      </c>
      <c r="AL98" s="413"/>
      <c r="AM98" s="293"/>
      <c r="AN98" s="330">
        <f t="shared" si="15"/>
        <v>18</v>
      </c>
      <c r="AO98" s="416"/>
      <c r="AP98" s="331">
        <f t="shared" si="25"/>
        <v>13</v>
      </c>
      <c r="AQ98" s="410">
        <f t="shared" si="20"/>
        <v>1.3</v>
      </c>
      <c r="AR98" s="410">
        <f t="shared" si="10"/>
        <v>1.3</v>
      </c>
      <c r="AS98" s="413"/>
    </row>
    <row r="99" spans="1:45" ht="14.25" customHeight="1">
      <c r="A99" s="1183"/>
      <c r="B99" s="1183"/>
      <c r="C99" s="1183"/>
      <c r="D99" s="1183"/>
      <c r="E99" s="1183"/>
      <c r="F99" s="1183"/>
      <c r="G99" s="1183"/>
      <c r="H99" s="1183"/>
      <c r="I99" s="1183"/>
      <c r="J99" s="1183"/>
      <c r="L99" s="330">
        <f t="shared" si="11"/>
        <v>19</v>
      </c>
      <c r="M99" s="416"/>
      <c r="N99" s="331">
        <f t="shared" si="21"/>
        <v>14</v>
      </c>
      <c r="O99" s="410">
        <f t="shared" si="16"/>
        <v>1.2</v>
      </c>
      <c r="P99" s="410">
        <f t="shared" si="6"/>
        <v>1.2</v>
      </c>
      <c r="Q99" s="413"/>
      <c r="R99" s="293"/>
      <c r="S99" s="330">
        <f t="shared" si="12"/>
        <v>19</v>
      </c>
      <c r="T99" s="416"/>
      <c r="U99" s="331">
        <f t="shared" si="22"/>
        <v>14</v>
      </c>
      <c r="V99" s="410">
        <f t="shared" si="17"/>
        <v>0.5</v>
      </c>
      <c r="W99" s="410">
        <f t="shared" si="7"/>
        <v>0.5</v>
      </c>
      <c r="X99" s="413"/>
      <c r="Y99" s="293"/>
      <c r="Z99" s="330">
        <f t="shared" si="13"/>
        <v>19</v>
      </c>
      <c r="AA99" s="416"/>
      <c r="AB99" s="331">
        <f t="shared" si="23"/>
        <v>14</v>
      </c>
      <c r="AC99" s="410">
        <f t="shared" si="18"/>
        <v>4.5</v>
      </c>
      <c r="AD99" s="410">
        <f t="shared" si="8"/>
        <v>4.5</v>
      </c>
      <c r="AE99" s="413"/>
      <c r="AF99" s="293"/>
      <c r="AG99" s="330">
        <f t="shared" si="14"/>
        <v>19</v>
      </c>
      <c r="AH99" s="416"/>
      <c r="AI99" s="331">
        <f t="shared" si="24"/>
        <v>14</v>
      </c>
      <c r="AJ99" s="410">
        <f t="shared" si="19"/>
        <v>5</v>
      </c>
      <c r="AK99" s="410">
        <f t="shared" si="9"/>
        <v>5</v>
      </c>
      <c r="AL99" s="413"/>
      <c r="AM99" s="293"/>
      <c r="AN99" s="330">
        <f t="shared" si="15"/>
        <v>19</v>
      </c>
      <c r="AO99" s="416"/>
      <c r="AP99" s="331">
        <f t="shared" si="25"/>
        <v>14</v>
      </c>
      <c r="AQ99" s="410">
        <f t="shared" si="20"/>
        <v>1.3</v>
      </c>
      <c r="AR99" s="410">
        <f t="shared" si="10"/>
        <v>1.3</v>
      </c>
      <c r="AS99" s="413"/>
    </row>
    <row r="100" spans="1:45">
      <c r="L100" s="330">
        <f t="shared" si="11"/>
        <v>20</v>
      </c>
      <c r="M100" s="416"/>
      <c r="N100" s="331">
        <f t="shared" si="21"/>
        <v>15</v>
      </c>
      <c r="O100" s="410">
        <f t="shared" si="16"/>
        <v>1.2</v>
      </c>
      <c r="P100" s="410">
        <f t="shared" si="6"/>
        <v>1.2</v>
      </c>
      <c r="Q100" s="413"/>
      <c r="R100" s="293"/>
      <c r="S100" s="330">
        <f t="shared" si="12"/>
        <v>20</v>
      </c>
      <c r="T100" s="416"/>
      <c r="U100" s="331">
        <f t="shared" si="22"/>
        <v>15</v>
      </c>
      <c r="V100" s="410">
        <f t="shared" si="17"/>
        <v>0.5</v>
      </c>
      <c r="W100" s="410">
        <f t="shared" si="7"/>
        <v>0.5</v>
      </c>
      <c r="X100" s="413"/>
      <c r="Y100" s="293"/>
      <c r="Z100" s="330">
        <f t="shared" si="13"/>
        <v>20</v>
      </c>
      <c r="AA100" s="416"/>
      <c r="AB100" s="331">
        <f t="shared" si="23"/>
        <v>15</v>
      </c>
      <c r="AC100" s="410">
        <f t="shared" si="18"/>
        <v>4.5</v>
      </c>
      <c r="AD100" s="410">
        <f t="shared" si="8"/>
        <v>4.5</v>
      </c>
      <c r="AE100" s="413"/>
      <c r="AF100" s="293"/>
      <c r="AG100" s="330">
        <f t="shared" si="14"/>
        <v>20</v>
      </c>
      <c r="AH100" s="416"/>
      <c r="AI100" s="331">
        <f t="shared" si="24"/>
        <v>15</v>
      </c>
      <c r="AJ100" s="410">
        <f t="shared" si="19"/>
        <v>5</v>
      </c>
      <c r="AK100" s="410">
        <f t="shared" si="9"/>
        <v>5</v>
      </c>
      <c r="AL100" s="413"/>
      <c r="AM100" s="293"/>
      <c r="AN100" s="330">
        <f t="shared" si="15"/>
        <v>20</v>
      </c>
      <c r="AO100" s="416"/>
      <c r="AP100" s="331">
        <f t="shared" si="25"/>
        <v>15</v>
      </c>
      <c r="AQ100" s="410">
        <f t="shared" si="20"/>
        <v>1.3</v>
      </c>
      <c r="AR100" s="410">
        <f t="shared" si="10"/>
        <v>1.3</v>
      </c>
      <c r="AS100" s="413"/>
    </row>
    <row r="101" spans="1:45">
      <c r="A101" s="527" t="s">
        <v>1015</v>
      </c>
      <c r="L101" s="330">
        <f t="shared" si="11"/>
        <v>21</v>
      </c>
      <c r="M101" s="416"/>
      <c r="N101" s="331">
        <f t="shared" si="21"/>
        <v>16</v>
      </c>
      <c r="O101" s="410">
        <f t="shared" si="16"/>
        <v>1.2</v>
      </c>
      <c r="P101" s="410">
        <f t="shared" si="6"/>
        <v>1.2</v>
      </c>
      <c r="Q101" s="413"/>
      <c r="R101" s="293"/>
      <c r="S101" s="330">
        <f t="shared" si="12"/>
        <v>21</v>
      </c>
      <c r="T101" s="416"/>
      <c r="U101" s="331">
        <f t="shared" si="22"/>
        <v>16</v>
      </c>
      <c r="V101" s="410">
        <f t="shared" si="17"/>
        <v>0.5</v>
      </c>
      <c r="W101" s="410">
        <f t="shared" si="7"/>
        <v>0.5</v>
      </c>
      <c r="X101" s="413"/>
      <c r="Y101" s="293"/>
      <c r="Z101" s="330">
        <f t="shared" si="13"/>
        <v>21</v>
      </c>
      <c r="AA101" s="416"/>
      <c r="AB101" s="331">
        <f t="shared" si="23"/>
        <v>16</v>
      </c>
      <c r="AC101" s="410">
        <f t="shared" si="18"/>
        <v>4.5</v>
      </c>
      <c r="AD101" s="410">
        <f t="shared" si="8"/>
        <v>4.5</v>
      </c>
      <c r="AE101" s="413"/>
      <c r="AF101" s="293"/>
      <c r="AG101" s="330">
        <f t="shared" si="14"/>
        <v>21</v>
      </c>
      <c r="AH101" s="416"/>
      <c r="AI101" s="331">
        <f t="shared" si="24"/>
        <v>16</v>
      </c>
      <c r="AJ101" s="410">
        <f t="shared" si="19"/>
        <v>5</v>
      </c>
      <c r="AK101" s="410">
        <f t="shared" si="9"/>
        <v>5</v>
      </c>
      <c r="AL101" s="413"/>
      <c r="AM101" s="293"/>
      <c r="AN101" s="330">
        <f t="shared" si="15"/>
        <v>21</v>
      </c>
      <c r="AO101" s="416"/>
      <c r="AP101" s="331">
        <f t="shared" si="25"/>
        <v>16</v>
      </c>
      <c r="AQ101" s="410">
        <f t="shared" si="20"/>
        <v>1.3</v>
      </c>
      <c r="AR101" s="410">
        <f t="shared" si="10"/>
        <v>1.3</v>
      </c>
      <c r="AS101" s="413"/>
    </row>
    <row r="102" spans="1:45" ht="15.75" thickBot="1">
      <c r="A102" s="49" t="s">
        <v>113</v>
      </c>
      <c r="B102" s="224">
        <v>0.06</v>
      </c>
      <c r="C102" s="49" t="s">
        <v>338</v>
      </c>
      <c r="L102" s="330">
        <f t="shared" si="11"/>
        <v>22</v>
      </c>
      <c r="M102" s="416"/>
      <c r="N102" s="331">
        <f t="shared" si="21"/>
        <v>17</v>
      </c>
      <c r="O102" s="410">
        <f t="shared" si="16"/>
        <v>1.2</v>
      </c>
      <c r="P102" s="410">
        <f t="shared" si="6"/>
        <v>1.2</v>
      </c>
      <c r="Q102" s="413"/>
      <c r="R102" s="293"/>
      <c r="S102" s="330">
        <f t="shared" si="12"/>
        <v>22</v>
      </c>
      <c r="T102" s="416"/>
      <c r="U102" s="331">
        <f t="shared" si="22"/>
        <v>17</v>
      </c>
      <c r="V102" s="410">
        <f t="shared" si="17"/>
        <v>0.5</v>
      </c>
      <c r="W102" s="410">
        <f t="shared" si="7"/>
        <v>0.5</v>
      </c>
      <c r="X102" s="413"/>
      <c r="Y102" s="293"/>
      <c r="Z102" s="330">
        <f t="shared" si="13"/>
        <v>22</v>
      </c>
      <c r="AA102" s="416"/>
      <c r="AB102" s="331">
        <f t="shared" si="23"/>
        <v>17</v>
      </c>
      <c r="AC102" s="410">
        <f t="shared" si="18"/>
        <v>4.5</v>
      </c>
      <c r="AD102" s="410">
        <f t="shared" si="8"/>
        <v>4.5</v>
      </c>
      <c r="AE102" s="413"/>
      <c r="AF102" s="293"/>
      <c r="AG102" s="330">
        <f t="shared" si="14"/>
        <v>22</v>
      </c>
      <c r="AH102" s="416"/>
      <c r="AI102" s="331">
        <f t="shared" si="24"/>
        <v>17</v>
      </c>
      <c r="AJ102" s="410">
        <f t="shared" si="19"/>
        <v>5</v>
      </c>
      <c r="AK102" s="410">
        <f t="shared" si="9"/>
        <v>5</v>
      </c>
      <c r="AL102" s="413"/>
      <c r="AM102" s="293"/>
      <c r="AN102" s="330">
        <f t="shared" si="15"/>
        <v>22</v>
      </c>
      <c r="AO102" s="416"/>
      <c r="AP102" s="331">
        <f t="shared" si="25"/>
        <v>17</v>
      </c>
      <c r="AQ102" s="410">
        <f t="shared" si="20"/>
        <v>1.3</v>
      </c>
      <c r="AR102" s="410">
        <f t="shared" si="10"/>
        <v>1.3</v>
      </c>
      <c r="AS102" s="413"/>
    </row>
    <row r="103" spans="1:45" ht="15.75" thickBot="1">
      <c r="A103" s="1364" t="str">
        <f>A72</f>
        <v>Hidro</v>
      </c>
      <c r="B103" s="1365"/>
      <c r="C103" s="1365"/>
      <c r="D103" s="1365"/>
      <c r="E103" s="1365"/>
      <c r="F103" s="1365"/>
      <c r="G103" s="1365"/>
      <c r="H103" s="1365"/>
      <c r="I103" s="1365"/>
      <c r="J103" s="1366"/>
      <c r="L103" s="330">
        <f t="shared" si="11"/>
        <v>23</v>
      </c>
      <c r="M103" s="416"/>
      <c r="N103" s="331">
        <f t="shared" si="21"/>
        <v>18</v>
      </c>
      <c r="O103" s="410">
        <f t="shared" si="16"/>
        <v>1.2</v>
      </c>
      <c r="P103" s="410">
        <f t="shared" si="6"/>
        <v>1.2</v>
      </c>
      <c r="Q103" s="413"/>
      <c r="R103" s="293"/>
      <c r="S103" s="330">
        <f t="shared" si="12"/>
        <v>23</v>
      </c>
      <c r="T103" s="416"/>
      <c r="U103" s="331">
        <f t="shared" si="22"/>
        <v>18</v>
      </c>
      <c r="V103" s="410">
        <f t="shared" si="17"/>
        <v>0.5</v>
      </c>
      <c r="W103" s="410">
        <f t="shared" si="7"/>
        <v>0.5</v>
      </c>
      <c r="X103" s="413"/>
      <c r="Y103" s="293"/>
      <c r="Z103" s="330">
        <f t="shared" si="13"/>
        <v>23</v>
      </c>
      <c r="AA103" s="416"/>
      <c r="AB103" s="331">
        <f t="shared" si="23"/>
        <v>18</v>
      </c>
      <c r="AC103" s="410">
        <f t="shared" si="18"/>
        <v>4.5</v>
      </c>
      <c r="AD103" s="410">
        <f t="shared" si="8"/>
        <v>4.5</v>
      </c>
      <c r="AE103" s="413"/>
      <c r="AF103" s="293"/>
      <c r="AG103" s="330">
        <f t="shared" si="14"/>
        <v>23</v>
      </c>
      <c r="AH103" s="416"/>
      <c r="AI103" s="331">
        <f t="shared" si="24"/>
        <v>18</v>
      </c>
      <c r="AJ103" s="410">
        <f t="shared" si="19"/>
        <v>5</v>
      </c>
      <c r="AK103" s="410">
        <f t="shared" si="9"/>
        <v>5</v>
      </c>
      <c r="AL103" s="413"/>
      <c r="AM103" s="293"/>
      <c r="AN103" s="330">
        <f t="shared" si="15"/>
        <v>23</v>
      </c>
      <c r="AO103" s="416"/>
      <c r="AP103" s="331">
        <f t="shared" si="25"/>
        <v>18</v>
      </c>
      <c r="AQ103" s="410">
        <f t="shared" si="20"/>
        <v>1.3</v>
      </c>
      <c r="AR103" s="410">
        <f t="shared" si="10"/>
        <v>1.3</v>
      </c>
      <c r="AS103" s="413"/>
    </row>
    <row r="104" spans="1:45" ht="15.75" thickBot="1">
      <c r="A104" s="373"/>
      <c r="B104" s="373" t="s">
        <v>373</v>
      </c>
      <c r="C104" s="373"/>
      <c r="D104" s="373"/>
      <c r="L104" s="330">
        <f t="shared" si="11"/>
        <v>24</v>
      </c>
      <c r="M104" s="416"/>
      <c r="N104" s="331">
        <f t="shared" si="21"/>
        <v>19</v>
      </c>
      <c r="O104" s="410">
        <f t="shared" si="16"/>
        <v>1.2</v>
      </c>
      <c r="P104" s="410">
        <f t="shared" si="6"/>
        <v>1.2</v>
      </c>
      <c r="Q104" s="413"/>
      <c r="R104" s="293"/>
      <c r="S104" s="330">
        <f t="shared" si="12"/>
        <v>24</v>
      </c>
      <c r="T104" s="416"/>
      <c r="U104" s="331">
        <f t="shared" si="22"/>
        <v>19</v>
      </c>
      <c r="V104" s="410">
        <f t="shared" si="17"/>
        <v>0.5</v>
      </c>
      <c r="W104" s="410">
        <f t="shared" si="7"/>
        <v>0.5</v>
      </c>
      <c r="X104" s="413"/>
      <c r="Y104" s="293"/>
      <c r="Z104" s="330">
        <f t="shared" si="13"/>
        <v>24</v>
      </c>
      <c r="AA104" s="416"/>
      <c r="AB104" s="331">
        <f t="shared" si="23"/>
        <v>19</v>
      </c>
      <c r="AC104" s="410">
        <f t="shared" si="18"/>
        <v>4.5</v>
      </c>
      <c r="AD104" s="410">
        <f t="shared" si="8"/>
        <v>4.5</v>
      </c>
      <c r="AE104" s="413"/>
      <c r="AF104" s="293"/>
      <c r="AG104" s="330">
        <f t="shared" si="14"/>
        <v>24</v>
      </c>
      <c r="AH104" s="416"/>
      <c r="AI104" s="331">
        <f t="shared" si="24"/>
        <v>19</v>
      </c>
      <c r="AJ104" s="410">
        <f t="shared" si="19"/>
        <v>5</v>
      </c>
      <c r="AK104" s="410">
        <f t="shared" si="9"/>
        <v>5</v>
      </c>
      <c r="AL104" s="413"/>
      <c r="AM104" s="293"/>
      <c r="AN104" s="330">
        <f t="shared" si="15"/>
        <v>24</v>
      </c>
      <c r="AO104" s="416"/>
      <c r="AP104" s="331">
        <f t="shared" si="25"/>
        <v>19</v>
      </c>
      <c r="AQ104" s="410">
        <f t="shared" si="20"/>
        <v>1.3</v>
      </c>
      <c r="AR104" s="410">
        <f t="shared" si="10"/>
        <v>1.3</v>
      </c>
      <c r="AS104" s="413"/>
    </row>
    <row r="105" spans="1:45">
      <c r="A105" s="367" t="s">
        <v>230</v>
      </c>
      <c r="B105" s="211">
        <v>0</v>
      </c>
      <c r="C105" s="367"/>
      <c r="G105" s="1486" t="s">
        <v>1021</v>
      </c>
      <c r="H105" s="1487"/>
      <c r="I105" s="1487"/>
      <c r="J105" s="1136"/>
      <c r="L105" s="330">
        <f t="shared" si="11"/>
        <v>25</v>
      </c>
      <c r="M105" s="416"/>
      <c r="N105" s="331">
        <f t="shared" si="21"/>
        <v>20</v>
      </c>
      <c r="O105" s="410">
        <f t="shared" si="16"/>
        <v>1.2</v>
      </c>
      <c r="P105" s="410">
        <f t="shared" si="6"/>
        <v>1.2</v>
      </c>
      <c r="Q105" s="413"/>
      <c r="R105" s="293"/>
      <c r="S105" s="330">
        <f t="shared" si="12"/>
        <v>25</v>
      </c>
      <c r="T105" s="416"/>
      <c r="U105" s="331">
        <f t="shared" si="22"/>
        <v>20</v>
      </c>
      <c r="V105" s="410">
        <f t="shared" si="17"/>
        <v>0.5</v>
      </c>
      <c r="W105" s="410">
        <f t="shared" si="7"/>
        <v>0.5</v>
      </c>
      <c r="X105" s="413"/>
      <c r="Y105" s="293"/>
      <c r="Z105" s="330">
        <f t="shared" si="13"/>
        <v>25</v>
      </c>
      <c r="AA105" s="416"/>
      <c r="AB105" s="331">
        <f t="shared" si="23"/>
        <v>20</v>
      </c>
      <c r="AC105" s="410">
        <f t="shared" si="18"/>
        <v>4.5</v>
      </c>
      <c r="AD105" s="410">
        <f t="shared" si="8"/>
        <v>4.5</v>
      </c>
      <c r="AE105" s="413"/>
      <c r="AF105" s="293"/>
      <c r="AG105" s="330">
        <f t="shared" si="14"/>
        <v>25</v>
      </c>
      <c r="AH105" s="416"/>
      <c r="AI105" s="331">
        <f t="shared" si="24"/>
        <v>20</v>
      </c>
      <c r="AJ105" s="410">
        <f t="shared" si="19"/>
        <v>5</v>
      </c>
      <c r="AK105" s="410">
        <f t="shared" si="9"/>
        <v>5</v>
      </c>
      <c r="AL105" s="413"/>
      <c r="AM105" s="293"/>
      <c r="AN105" s="330">
        <f t="shared" si="15"/>
        <v>25</v>
      </c>
      <c r="AO105" s="416"/>
      <c r="AP105" s="331">
        <f t="shared" si="25"/>
        <v>20</v>
      </c>
      <c r="AQ105" s="410">
        <f t="shared" si="20"/>
        <v>1.3</v>
      </c>
      <c r="AR105" s="410">
        <f t="shared" si="10"/>
        <v>1.3</v>
      </c>
      <c r="AS105" s="413"/>
    </row>
    <row r="106" spans="1:45">
      <c r="A106" s="367" t="s">
        <v>231</v>
      </c>
      <c r="B106" s="211">
        <v>0</v>
      </c>
      <c r="C106" s="367"/>
      <c r="G106" s="1488"/>
      <c r="H106" s="1287"/>
      <c r="I106" s="1287"/>
      <c r="J106" s="1138"/>
      <c r="L106" s="330">
        <f t="shared" si="11"/>
        <v>26</v>
      </c>
      <c r="M106" s="416"/>
      <c r="N106" s="331">
        <f t="shared" si="21"/>
        <v>21</v>
      </c>
      <c r="O106" s="410">
        <v>0</v>
      </c>
      <c r="P106" s="410">
        <f t="shared" si="6"/>
        <v>0</v>
      </c>
      <c r="Q106" s="413"/>
      <c r="R106" s="293"/>
      <c r="S106" s="330">
        <f t="shared" si="12"/>
        <v>26</v>
      </c>
      <c r="T106" s="416"/>
      <c r="U106" s="331">
        <f t="shared" si="22"/>
        <v>21</v>
      </c>
      <c r="V106" s="410">
        <f t="shared" ref="V106:V135" si="26">V105</f>
        <v>0.5</v>
      </c>
      <c r="W106" s="410">
        <f t="shared" si="7"/>
        <v>0.5</v>
      </c>
      <c r="X106" s="413"/>
      <c r="Y106" s="293"/>
      <c r="Z106" s="330">
        <f t="shared" si="13"/>
        <v>26</v>
      </c>
      <c r="AA106" s="416"/>
      <c r="AB106" s="331">
        <f t="shared" si="23"/>
        <v>21</v>
      </c>
      <c r="AC106" s="410">
        <f t="shared" ref="AC106:AC115" si="27">AC105</f>
        <v>4.5</v>
      </c>
      <c r="AD106" s="410">
        <f t="shared" si="8"/>
        <v>4.5</v>
      </c>
      <c r="AE106" s="413"/>
      <c r="AF106" s="293"/>
      <c r="AG106" s="330">
        <f t="shared" si="14"/>
        <v>26</v>
      </c>
      <c r="AH106" s="416"/>
      <c r="AI106" s="331">
        <f t="shared" si="24"/>
        <v>21</v>
      </c>
      <c r="AJ106" s="410">
        <f t="shared" ref="AJ106:AJ115" si="28">AJ105</f>
        <v>5</v>
      </c>
      <c r="AK106" s="410">
        <f t="shared" si="9"/>
        <v>5</v>
      </c>
      <c r="AL106" s="413"/>
      <c r="AM106" s="293"/>
      <c r="AN106" s="330">
        <f t="shared" si="15"/>
        <v>26</v>
      </c>
      <c r="AO106" s="416"/>
      <c r="AP106" s="331">
        <f t="shared" si="25"/>
        <v>21</v>
      </c>
      <c r="AQ106" s="410">
        <v>0</v>
      </c>
      <c r="AR106" s="410">
        <f t="shared" si="10"/>
        <v>0</v>
      </c>
      <c r="AS106" s="413"/>
    </row>
    <row r="107" spans="1:45">
      <c r="A107" s="367" t="s">
        <v>232</v>
      </c>
      <c r="B107" s="211">
        <v>0</v>
      </c>
      <c r="C107" s="367"/>
      <c r="G107" s="1488"/>
      <c r="H107" s="1287"/>
      <c r="I107" s="1287"/>
      <c r="J107" s="1138"/>
      <c r="L107" s="330">
        <f t="shared" si="11"/>
        <v>27</v>
      </c>
      <c r="M107" s="416"/>
      <c r="N107" s="331">
        <f t="shared" si="21"/>
        <v>22</v>
      </c>
      <c r="O107" s="410">
        <f t="shared" ref="O107:O135" si="29">O106</f>
        <v>0</v>
      </c>
      <c r="P107" s="410">
        <f t="shared" si="6"/>
        <v>0</v>
      </c>
      <c r="Q107" s="413"/>
      <c r="R107" s="293"/>
      <c r="S107" s="330">
        <f t="shared" si="12"/>
        <v>27</v>
      </c>
      <c r="T107" s="416"/>
      <c r="U107" s="331">
        <f t="shared" si="22"/>
        <v>22</v>
      </c>
      <c r="V107" s="410">
        <f t="shared" si="26"/>
        <v>0.5</v>
      </c>
      <c r="W107" s="410">
        <f t="shared" si="7"/>
        <v>0.5</v>
      </c>
      <c r="X107" s="413"/>
      <c r="Y107" s="293"/>
      <c r="Z107" s="330">
        <f t="shared" si="13"/>
        <v>27</v>
      </c>
      <c r="AA107" s="416"/>
      <c r="AB107" s="331">
        <f t="shared" si="23"/>
        <v>22</v>
      </c>
      <c r="AC107" s="410">
        <f t="shared" si="27"/>
        <v>4.5</v>
      </c>
      <c r="AD107" s="410">
        <f t="shared" si="8"/>
        <v>4.5</v>
      </c>
      <c r="AE107" s="413"/>
      <c r="AF107" s="293"/>
      <c r="AG107" s="330">
        <f t="shared" si="14"/>
        <v>27</v>
      </c>
      <c r="AH107" s="416"/>
      <c r="AI107" s="331">
        <f t="shared" si="24"/>
        <v>22</v>
      </c>
      <c r="AJ107" s="410">
        <f t="shared" si="28"/>
        <v>5</v>
      </c>
      <c r="AK107" s="410">
        <f t="shared" si="9"/>
        <v>5</v>
      </c>
      <c r="AL107" s="413"/>
      <c r="AM107" s="293"/>
      <c r="AN107" s="330">
        <f t="shared" si="15"/>
        <v>27</v>
      </c>
      <c r="AO107" s="416"/>
      <c r="AP107" s="331">
        <f t="shared" si="25"/>
        <v>22</v>
      </c>
      <c r="AQ107" s="410">
        <f t="shared" ref="AQ107:AQ135" si="30">AQ106</f>
        <v>0</v>
      </c>
      <c r="AR107" s="410">
        <f t="shared" si="10"/>
        <v>0</v>
      </c>
      <c r="AS107" s="413"/>
    </row>
    <row r="108" spans="1:45" ht="15.75" thickBot="1">
      <c r="A108" s="367" t="s">
        <v>233</v>
      </c>
      <c r="B108" s="211">
        <v>35000000</v>
      </c>
      <c r="C108" s="367" t="s">
        <v>115</v>
      </c>
      <c r="D108" s="211"/>
      <c r="E108" s="367"/>
      <c r="G108" s="1489"/>
      <c r="H108" s="1490"/>
      <c r="I108" s="1490"/>
      <c r="J108" s="1141"/>
      <c r="L108" s="330">
        <f t="shared" si="11"/>
        <v>28</v>
      </c>
      <c r="M108" s="416"/>
      <c r="N108" s="331">
        <f t="shared" si="21"/>
        <v>23</v>
      </c>
      <c r="O108" s="410">
        <f t="shared" si="29"/>
        <v>0</v>
      </c>
      <c r="P108" s="410">
        <f t="shared" si="6"/>
        <v>0</v>
      </c>
      <c r="Q108" s="413"/>
      <c r="R108" s="293"/>
      <c r="S108" s="330">
        <f t="shared" si="12"/>
        <v>28</v>
      </c>
      <c r="T108" s="416"/>
      <c r="U108" s="331">
        <f t="shared" si="22"/>
        <v>23</v>
      </c>
      <c r="V108" s="410">
        <f t="shared" si="26"/>
        <v>0.5</v>
      </c>
      <c r="W108" s="410">
        <f t="shared" si="7"/>
        <v>0.5</v>
      </c>
      <c r="X108" s="413"/>
      <c r="Y108" s="293"/>
      <c r="Z108" s="330">
        <f t="shared" si="13"/>
        <v>28</v>
      </c>
      <c r="AA108" s="416"/>
      <c r="AB108" s="331">
        <f t="shared" si="23"/>
        <v>23</v>
      </c>
      <c r="AC108" s="410">
        <f t="shared" si="27"/>
        <v>4.5</v>
      </c>
      <c r="AD108" s="410">
        <f t="shared" si="8"/>
        <v>4.5</v>
      </c>
      <c r="AE108" s="413"/>
      <c r="AF108" s="293"/>
      <c r="AG108" s="330">
        <f t="shared" si="14"/>
        <v>28</v>
      </c>
      <c r="AH108" s="416"/>
      <c r="AI108" s="331">
        <f t="shared" si="24"/>
        <v>23</v>
      </c>
      <c r="AJ108" s="410">
        <f t="shared" si="28"/>
        <v>5</v>
      </c>
      <c r="AK108" s="410">
        <f t="shared" si="9"/>
        <v>5</v>
      </c>
      <c r="AL108" s="413"/>
      <c r="AM108" s="293"/>
      <c r="AN108" s="330">
        <f t="shared" si="15"/>
        <v>28</v>
      </c>
      <c r="AO108" s="416"/>
      <c r="AP108" s="331">
        <f t="shared" si="25"/>
        <v>23</v>
      </c>
      <c r="AQ108" s="410">
        <f t="shared" si="30"/>
        <v>0</v>
      </c>
      <c r="AR108" s="410">
        <f t="shared" si="10"/>
        <v>0</v>
      </c>
      <c r="AS108" s="413"/>
    </row>
    <row r="109" spans="1:45">
      <c r="A109" s="367" t="s">
        <v>234</v>
      </c>
      <c r="B109" s="211">
        <v>35000000</v>
      </c>
      <c r="C109" s="367" t="s">
        <v>115</v>
      </c>
      <c r="D109" s="211"/>
      <c r="E109" s="367"/>
      <c r="L109" s="330">
        <f t="shared" si="11"/>
        <v>29</v>
      </c>
      <c r="M109" s="416"/>
      <c r="N109" s="331">
        <f t="shared" si="21"/>
        <v>24</v>
      </c>
      <c r="O109" s="410">
        <f t="shared" si="29"/>
        <v>0</v>
      </c>
      <c r="P109" s="410">
        <f t="shared" si="6"/>
        <v>0</v>
      </c>
      <c r="Q109" s="413"/>
      <c r="R109" s="293"/>
      <c r="S109" s="330">
        <f t="shared" si="12"/>
        <v>29</v>
      </c>
      <c r="T109" s="416"/>
      <c r="U109" s="331">
        <f t="shared" si="22"/>
        <v>24</v>
      </c>
      <c r="V109" s="410">
        <f t="shared" si="26"/>
        <v>0.5</v>
      </c>
      <c r="W109" s="410">
        <f t="shared" si="7"/>
        <v>0.5</v>
      </c>
      <c r="X109" s="413"/>
      <c r="Y109" s="293"/>
      <c r="Z109" s="330">
        <f t="shared" si="13"/>
        <v>29</v>
      </c>
      <c r="AA109" s="416"/>
      <c r="AB109" s="331">
        <f t="shared" si="23"/>
        <v>24</v>
      </c>
      <c r="AC109" s="410">
        <f t="shared" si="27"/>
        <v>4.5</v>
      </c>
      <c r="AD109" s="410">
        <f t="shared" si="8"/>
        <v>4.5</v>
      </c>
      <c r="AE109" s="413"/>
      <c r="AF109" s="293"/>
      <c r="AG109" s="330">
        <f t="shared" si="14"/>
        <v>29</v>
      </c>
      <c r="AH109" s="416"/>
      <c r="AI109" s="331">
        <f t="shared" si="24"/>
        <v>24</v>
      </c>
      <c r="AJ109" s="410">
        <f t="shared" si="28"/>
        <v>5</v>
      </c>
      <c r="AK109" s="410">
        <f t="shared" si="9"/>
        <v>5</v>
      </c>
      <c r="AL109" s="413"/>
      <c r="AM109" s="293"/>
      <c r="AN109" s="330">
        <f t="shared" si="15"/>
        <v>29</v>
      </c>
      <c r="AO109" s="416"/>
      <c r="AP109" s="331">
        <f t="shared" si="25"/>
        <v>24</v>
      </c>
      <c r="AQ109" s="410">
        <f t="shared" si="30"/>
        <v>0</v>
      </c>
      <c r="AR109" s="410">
        <f t="shared" si="10"/>
        <v>0</v>
      </c>
      <c r="AS109" s="413"/>
    </row>
    <row r="110" spans="1:45">
      <c r="A110" s="959" t="s">
        <v>1007</v>
      </c>
      <c r="L110" s="330">
        <f t="shared" si="11"/>
        <v>30</v>
      </c>
      <c r="M110" s="416"/>
      <c r="N110" s="331">
        <f t="shared" si="21"/>
        <v>25</v>
      </c>
      <c r="O110" s="410">
        <f t="shared" si="29"/>
        <v>0</v>
      </c>
      <c r="P110" s="410">
        <f t="shared" si="6"/>
        <v>0</v>
      </c>
      <c r="Q110" s="413"/>
      <c r="R110" s="293"/>
      <c r="S110" s="330">
        <f t="shared" si="12"/>
        <v>30</v>
      </c>
      <c r="T110" s="416"/>
      <c r="U110" s="331">
        <f t="shared" si="22"/>
        <v>25</v>
      </c>
      <c r="V110" s="410">
        <f t="shared" si="26"/>
        <v>0.5</v>
      </c>
      <c r="W110" s="410">
        <f t="shared" si="7"/>
        <v>0.5</v>
      </c>
      <c r="X110" s="413"/>
      <c r="Y110" s="293"/>
      <c r="Z110" s="330">
        <f t="shared" si="13"/>
        <v>30</v>
      </c>
      <c r="AA110" s="416"/>
      <c r="AB110" s="331">
        <f t="shared" si="23"/>
        <v>25</v>
      </c>
      <c r="AC110" s="410">
        <f t="shared" si="27"/>
        <v>4.5</v>
      </c>
      <c r="AD110" s="410">
        <f t="shared" si="8"/>
        <v>4.5</v>
      </c>
      <c r="AE110" s="413"/>
      <c r="AF110" s="293"/>
      <c r="AG110" s="330">
        <f t="shared" si="14"/>
        <v>30</v>
      </c>
      <c r="AH110" s="416"/>
      <c r="AI110" s="331">
        <f t="shared" si="24"/>
        <v>25</v>
      </c>
      <c r="AJ110" s="410">
        <f t="shared" si="28"/>
        <v>5</v>
      </c>
      <c r="AK110" s="410">
        <f t="shared" si="9"/>
        <v>5</v>
      </c>
      <c r="AL110" s="413"/>
      <c r="AM110" s="293"/>
      <c r="AN110" s="330">
        <f t="shared" si="15"/>
        <v>30</v>
      </c>
      <c r="AO110" s="416"/>
      <c r="AP110" s="331">
        <f t="shared" si="25"/>
        <v>25</v>
      </c>
      <c r="AQ110" s="410">
        <f t="shared" si="30"/>
        <v>0</v>
      </c>
      <c r="AR110" s="410">
        <f t="shared" si="10"/>
        <v>0</v>
      </c>
      <c r="AS110" s="413"/>
    </row>
    <row r="111" spans="1:45">
      <c r="A111" s="959" t="s">
        <v>1008</v>
      </c>
      <c r="D111" s="373" t="s">
        <v>714</v>
      </c>
      <c r="E111" s="211">
        <f>-PV($B$102,4,,B108,0)-PV($B$102,5,,B109,0)</f>
        <v>53877314.263642699</v>
      </c>
      <c r="F111" s="367" t="s">
        <v>115</v>
      </c>
      <c r="G111" s="49" t="s">
        <v>378</v>
      </c>
      <c r="L111" s="330">
        <f t="shared" si="11"/>
        <v>31</v>
      </c>
      <c r="M111" s="416"/>
      <c r="N111" s="331">
        <f t="shared" si="21"/>
        <v>26</v>
      </c>
      <c r="O111" s="410">
        <f t="shared" si="29"/>
        <v>0</v>
      </c>
      <c r="P111" s="410">
        <f t="shared" si="6"/>
        <v>0</v>
      </c>
      <c r="Q111" s="413"/>
      <c r="R111" s="293"/>
      <c r="S111" s="330">
        <f t="shared" si="12"/>
        <v>31</v>
      </c>
      <c r="T111" s="416"/>
      <c r="U111" s="331">
        <f t="shared" si="22"/>
        <v>26</v>
      </c>
      <c r="V111" s="410">
        <f t="shared" si="26"/>
        <v>0.5</v>
      </c>
      <c r="W111" s="410">
        <f t="shared" si="7"/>
        <v>0.5</v>
      </c>
      <c r="X111" s="413"/>
      <c r="Y111" s="293"/>
      <c r="Z111" s="330">
        <f t="shared" si="13"/>
        <v>31</v>
      </c>
      <c r="AA111" s="416"/>
      <c r="AB111" s="331">
        <f t="shared" si="23"/>
        <v>26</v>
      </c>
      <c r="AC111" s="410">
        <f t="shared" si="27"/>
        <v>4.5</v>
      </c>
      <c r="AD111" s="410">
        <f t="shared" si="8"/>
        <v>4.5</v>
      </c>
      <c r="AE111" s="413"/>
      <c r="AF111" s="293"/>
      <c r="AG111" s="330">
        <f t="shared" si="14"/>
        <v>31</v>
      </c>
      <c r="AH111" s="416"/>
      <c r="AI111" s="331">
        <f t="shared" si="24"/>
        <v>26</v>
      </c>
      <c r="AJ111" s="410">
        <f t="shared" si="28"/>
        <v>5</v>
      </c>
      <c r="AK111" s="410">
        <f t="shared" si="9"/>
        <v>5</v>
      </c>
      <c r="AL111" s="413"/>
      <c r="AM111" s="293"/>
      <c r="AN111" s="330">
        <f t="shared" si="15"/>
        <v>31</v>
      </c>
      <c r="AO111" s="416"/>
      <c r="AP111" s="331">
        <f t="shared" si="25"/>
        <v>26</v>
      </c>
      <c r="AQ111" s="410">
        <f t="shared" si="30"/>
        <v>0</v>
      </c>
      <c r="AR111" s="410">
        <f t="shared" si="10"/>
        <v>0</v>
      </c>
      <c r="AS111" s="413"/>
    </row>
    <row r="112" spans="1:45" ht="15" customHeight="1">
      <c r="A112" s="959" t="s">
        <v>1009</v>
      </c>
      <c r="D112" s="1114" t="s">
        <v>1016</v>
      </c>
      <c r="E112" s="1114"/>
      <c r="F112" s="1114"/>
      <c r="G112" s="1114"/>
      <c r="H112" s="1114"/>
      <c r="I112" s="1114"/>
      <c r="J112" s="1115"/>
      <c r="L112" s="330">
        <f t="shared" si="11"/>
        <v>32</v>
      </c>
      <c r="M112" s="416"/>
      <c r="N112" s="331">
        <f t="shared" si="21"/>
        <v>27</v>
      </c>
      <c r="O112" s="410">
        <f t="shared" si="29"/>
        <v>0</v>
      </c>
      <c r="P112" s="410">
        <f t="shared" si="6"/>
        <v>0</v>
      </c>
      <c r="Q112" s="413"/>
      <c r="R112" s="293"/>
      <c r="S112" s="330">
        <f t="shared" si="12"/>
        <v>32</v>
      </c>
      <c r="T112" s="416"/>
      <c r="U112" s="331">
        <f t="shared" si="22"/>
        <v>27</v>
      </c>
      <c r="V112" s="410">
        <f t="shared" si="26"/>
        <v>0.5</v>
      </c>
      <c r="W112" s="410">
        <f t="shared" si="7"/>
        <v>0.5</v>
      </c>
      <c r="X112" s="413"/>
      <c r="Y112" s="293"/>
      <c r="Z112" s="330">
        <f t="shared" si="13"/>
        <v>32</v>
      </c>
      <c r="AA112" s="416"/>
      <c r="AB112" s="331">
        <f t="shared" si="23"/>
        <v>27</v>
      </c>
      <c r="AC112" s="410">
        <f t="shared" si="27"/>
        <v>4.5</v>
      </c>
      <c r="AD112" s="410">
        <f t="shared" si="8"/>
        <v>4.5</v>
      </c>
      <c r="AE112" s="413"/>
      <c r="AF112" s="293"/>
      <c r="AG112" s="330">
        <f t="shared" si="14"/>
        <v>32</v>
      </c>
      <c r="AH112" s="416"/>
      <c r="AI112" s="331">
        <f t="shared" si="24"/>
        <v>27</v>
      </c>
      <c r="AJ112" s="410">
        <f t="shared" si="28"/>
        <v>5</v>
      </c>
      <c r="AK112" s="410">
        <f t="shared" si="9"/>
        <v>5</v>
      </c>
      <c r="AL112" s="413"/>
      <c r="AM112" s="293"/>
      <c r="AN112" s="330">
        <f t="shared" si="15"/>
        <v>32</v>
      </c>
      <c r="AO112" s="416"/>
      <c r="AP112" s="331">
        <f t="shared" si="25"/>
        <v>27</v>
      </c>
      <c r="AQ112" s="410">
        <f t="shared" si="30"/>
        <v>0</v>
      </c>
      <c r="AR112" s="410">
        <f t="shared" si="10"/>
        <v>0</v>
      </c>
      <c r="AS112" s="413"/>
    </row>
    <row r="113" spans="1:45">
      <c r="D113" s="1114"/>
      <c r="E113" s="1114"/>
      <c r="F113" s="1114"/>
      <c r="G113" s="1114"/>
      <c r="H113" s="1114"/>
      <c r="I113" s="1114"/>
      <c r="J113" s="1115"/>
      <c r="L113" s="330">
        <f t="shared" si="11"/>
        <v>33</v>
      </c>
      <c r="M113" s="416"/>
      <c r="N113" s="331">
        <f t="shared" si="21"/>
        <v>28</v>
      </c>
      <c r="O113" s="410">
        <f t="shared" si="29"/>
        <v>0</v>
      </c>
      <c r="P113" s="410">
        <f t="shared" si="6"/>
        <v>0</v>
      </c>
      <c r="Q113" s="413"/>
      <c r="R113" s="293"/>
      <c r="S113" s="330">
        <f t="shared" si="12"/>
        <v>33</v>
      </c>
      <c r="T113" s="416"/>
      <c r="U113" s="331">
        <f t="shared" si="22"/>
        <v>28</v>
      </c>
      <c r="V113" s="410">
        <f t="shared" si="26"/>
        <v>0.5</v>
      </c>
      <c r="W113" s="410">
        <f t="shared" si="7"/>
        <v>0.5</v>
      </c>
      <c r="X113" s="413"/>
      <c r="Y113" s="293"/>
      <c r="Z113" s="330">
        <f t="shared" si="13"/>
        <v>33</v>
      </c>
      <c r="AA113" s="416"/>
      <c r="AB113" s="331">
        <f t="shared" si="23"/>
        <v>28</v>
      </c>
      <c r="AC113" s="410">
        <f t="shared" si="27"/>
        <v>4.5</v>
      </c>
      <c r="AD113" s="410">
        <f t="shared" si="8"/>
        <v>4.5</v>
      </c>
      <c r="AE113" s="413"/>
      <c r="AF113" s="293"/>
      <c r="AG113" s="330">
        <f t="shared" si="14"/>
        <v>33</v>
      </c>
      <c r="AH113" s="416"/>
      <c r="AI113" s="331">
        <f t="shared" si="24"/>
        <v>28</v>
      </c>
      <c r="AJ113" s="410">
        <f t="shared" si="28"/>
        <v>5</v>
      </c>
      <c r="AK113" s="410">
        <f t="shared" si="9"/>
        <v>5</v>
      </c>
      <c r="AL113" s="413"/>
      <c r="AM113" s="293"/>
      <c r="AN113" s="330">
        <f t="shared" si="15"/>
        <v>33</v>
      </c>
      <c r="AO113" s="416"/>
      <c r="AP113" s="331">
        <f t="shared" si="25"/>
        <v>28</v>
      </c>
      <c r="AQ113" s="410">
        <f t="shared" si="30"/>
        <v>0</v>
      </c>
      <c r="AR113" s="410">
        <f t="shared" si="10"/>
        <v>0</v>
      </c>
      <c r="AS113" s="413"/>
    </row>
    <row r="114" spans="1:45">
      <c r="B114" s="110"/>
      <c r="D114" s="1114"/>
      <c r="E114" s="1114"/>
      <c r="F114" s="1114"/>
      <c r="G114" s="1114"/>
      <c r="H114" s="1114"/>
      <c r="I114" s="1114"/>
      <c r="J114" s="1115"/>
      <c r="L114" s="330">
        <f t="shared" si="11"/>
        <v>34</v>
      </c>
      <c r="M114" s="416"/>
      <c r="N114" s="331">
        <f t="shared" si="21"/>
        <v>29</v>
      </c>
      <c r="O114" s="410">
        <f t="shared" si="29"/>
        <v>0</v>
      </c>
      <c r="P114" s="410">
        <f t="shared" si="6"/>
        <v>0</v>
      </c>
      <c r="Q114" s="413"/>
      <c r="R114" s="293"/>
      <c r="S114" s="330">
        <f t="shared" si="12"/>
        <v>34</v>
      </c>
      <c r="T114" s="416"/>
      <c r="U114" s="331">
        <f t="shared" si="22"/>
        <v>29</v>
      </c>
      <c r="V114" s="410">
        <f t="shared" si="26"/>
        <v>0.5</v>
      </c>
      <c r="W114" s="410">
        <f t="shared" si="7"/>
        <v>0.5</v>
      </c>
      <c r="X114" s="413"/>
      <c r="Y114" s="293"/>
      <c r="Z114" s="330">
        <f t="shared" si="13"/>
        <v>34</v>
      </c>
      <c r="AA114" s="416"/>
      <c r="AB114" s="331">
        <f t="shared" si="23"/>
        <v>29</v>
      </c>
      <c r="AC114" s="410">
        <f t="shared" si="27"/>
        <v>4.5</v>
      </c>
      <c r="AD114" s="410">
        <f t="shared" si="8"/>
        <v>4.5</v>
      </c>
      <c r="AE114" s="413"/>
      <c r="AF114" s="293"/>
      <c r="AG114" s="330">
        <f t="shared" si="14"/>
        <v>34</v>
      </c>
      <c r="AH114" s="416"/>
      <c r="AI114" s="331">
        <f t="shared" si="24"/>
        <v>29</v>
      </c>
      <c r="AJ114" s="410">
        <f t="shared" si="28"/>
        <v>5</v>
      </c>
      <c r="AK114" s="410">
        <f t="shared" si="9"/>
        <v>5</v>
      </c>
      <c r="AL114" s="413"/>
      <c r="AM114" s="293"/>
      <c r="AN114" s="330">
        <f t="shared" si="15"/>
        <v>34</v>
      </c>
      <c r="AO114" s="416"/>
      <c r="AP114" s="331">
        <f t="shared" si="25"/>
        <v>29</v>
      </c>
      <c r="AQ114" s="410">
        <f t="shared" si="30"/>
        <v>0</v>
      </c>
      <c r="AR114" s="410">
        <f t="shared" si="10"/>
        <v>0</v>
      </c>
      <c r="AS114" s="413"/>
    </row>
    <row r="115" spans="1:45">
      <c r="D115" s="959" t="s">
        <v>1017</v>
      </c>
      <c r="F115" s="1423">
        <f>-PV($B$102,D72,(H72*10^6),,0)</f>
        <v>7880930.318194245</v>
      </c>
      <c r="G115" s="1423"/>
      <c r="H115" s="367" t="s">
        <v>115</v>
      </c>
      <c r="L115" s="330">
        <f t="shared" si="11"/>
        <v>35</v>
      </c>
      <c r="M115" s="416"/>
      <c r="N115" s="331">
        <f t="shared" si="21"/>
        <v>30</v>
      </c>
      <c r="O115" s="410">
        <f t="shared" si="29"/>
        <v>0</v>
      </c>
      <c r="P115" s="410">
        <f t="shared" si="6"/>
        <v>0</v>
      </c>
      <c r="Q115" s="413"/>
      <c r="R115" s="293"/>
      <c r="S115" s="330">
        <f t="shared" si="12"/>
        <v>35</v>
      </c>
      <c r="T115" s="416"/>
      <c r="U115" s="331">
        <f t="shared" si="22"/>
        <v>30</v>
      </c>
      <c r="V115" s="410">
        <f t="shared" si="26"/>
        <v>0.5</v>
      </c>
      <c r="W115" s="410">
        <f t="shared" si="7"/>
        <v>0.5</v>
      </c>
      <c r="X115" s="413"/>
      <c r="Y115" s="293"/>
      <c r="Z115" s="330">
        <f t="shared" si="13"/>
        <v>35</v>
      </c>
      <c r="AA115" s="416"/>
      <c r="AB115" s="331">
        <f t="shared" si="23"/>
        <v>30</v>
      </c>
      <c r="AC115" s="410">
        <f t="shared" si="27"/>
        <v>4.5</v>
      </c>
      <c r="AD115" s="410">
        <f t="shared" si="8"/>
        <v>4.5</v>
      </c>
      <c r="AE115" s="413"/>
      <c r="AF115" s="293"/>
      <c r="AG115" s="330">
        <f t="shared" si="14"/>
        <v>35</v>
      </c>
      <c r="AH115" s="416"/>
      <c r="AI115" s="331">
        <f t="shared" si="24"/>
        <v>30</v>
      </c>
      <c r="AJ115" s="410">
        <f t="shared" si="28"/>
        <v>5</v>
      </c>
      <c r="AK115" s="410">
        <f t="shared" si="9"/>
        <v>5</v>
      </c>
      <c r="AL115" s="413"/>
      <c r="AM115" s="293"/>
      <c r="AN115" s="330">
        <f t="shared" si="15"/>
        <v>35</v>
      </c>
      <c r="AO115" s="416"/>
      <c r="AP115" s="331">
        <f t="shared" si="25"/>
        <v>30</v>
      </c>
      <c r="AQ115" s="410">
        <f t="shared" si="30"/>
        <v>0</v>
      </c>
      <c r="AR115" s="410">
        <f t="shared" si="10"/>
        <v>0</v>
      </c>
      <c r="AS115" s="413"/>
    </row>
    <row r="116" spans="1:45">
      <c r="D116" s="527" t="s">
        <v>1018</v>
      </c>
      <c r="F116" s="1423">
        <f>-PV($B$102,5,,F115,0)</f>
        <v>5889089.5900585437</v>
      </c>
      <c r="G116" s="1423"/>
      <c r="H116" s="367" t="s">
        <v>115</v>
      </c>
      <c r="L116" s="330">
        <f t="shared" si="11"/>
        <v>36</v>
      </c>
      <c r="M116" s="416"/>
      <c r="N116" s="331">
        <f t="shared" si="21"/>
        <v>31</v>
      </c>
      <c r="O116" s="410">
        <f t="shared" si="29"/>
        <v>0</v>
      </c>
      <c r="P116" s="410">
        <f t="shared" si="6"/>
        <v>0</v>
      </c>
      <c r="Q116" s="413"/>
      <c r="R116" s="293"/>
      <c r="S116" s="330">
        <f t="shared" si="12"/>
        <v>36</v>
      </c>
      <c r="T116" s="416"/>
      <c r="U116" s="331">
        <f t="shared" si="22"/>
        <v>31</v>
      </c>
      <c r="V116" s="410">
        <f t="shared" si="26"/>
        <v>0.5</v>
      </c>
      <c r="W116" s="410">
        <f t="shared" si="7"/>
        <v>0.5</v>
      </c>
      <c r="X116" s="413"/>
      <c r="Y116" s="293"/>
      <c r="Z116" s="330">
        <f t="shared" si="13"/>
        <v>36</v>
      </c>
      <c r="AA116" s="416"/>
      <c r="AB116" s="331">
        <f t="shared" si="23"/>
        <v>31</v>
      </c>
      <c r="AC116" s="410">
        <v>0</v>
      </c>
      <c r="AD116" s="410">
        <f t="shared" si="8"/>
        <v>0</v>
      </c>
      <c r="AE116" s="413"/>
      <c r="AF116" s="293"/>
      <c r="AG116" s="330">
        <f t="shared" si="14"/>
        <v>36</v>
      </c>
      <c r="AH116" s="416"/>
      <c r="AI116" s="331">
        <f t="shared" si="24"/>
        <v>31</v>
      </c>
      <c r="AJ116" s="410">
        <v>0</v>
      </c>
      <c r="AK116" s="410">
        <f t="shared" si="9"/>
        <v>0</v>
      </c>
      <c r="AL116" s="413"/>
      <c r="AM116" s="293"/>
      <c r="AN116" s="330">
        <f t="shared" si="15"/>
        <v>36</v>
      </c>
      <c r="AO116" s="416"/>
      <c r="AP116" s="331">
        <f t="shared" si="25"/>
        <v>31</v>
      </c>
      <c r="AQ116" s="410">
        <f t="shared" si="30"/>
        <v>0</v>
      </c>
      <c r="AR116" s="410">
        <f t="shared" si="10"/>
        <v>0</v>
      </c>
      <c r="AS116" s="413"/>
    </row>
    <row r="117" spans="1:45">
      <c r="L117" s="330">
        <f t="shared" si="11"/>
        <v>37</v>
      </c>
      <c r="M117" s="416"/>
      <c r="N117" s="331">
        <f t="shared" si="21"/>
        <v>32</v>
      </c>
      <c r="O117" s="410">
        <f t="shared" si="29"/>
        <v>0</v>
      </c>
      <c r="P117" s="410">
        <f t="shared" si="6"/>
        <v>0</v>
      </c>
      <c r="Q117" s="413"/>
      <c r="R117" s="293"/>
      <c r="S117" s="330">
        <f t="shared" si="12"/>
        <v>37</v>
      </c>
      <c r="T117" s="416"/>
      <c r="U117" s="331">
        <f t="shared" si="22"/>
        <v>32</v>
      </c>
      <c r="V117" s="410">
        <f t="shared" si="26"/>
        <v>0.5</v>
      </c>
      <c r="W117" s="410">
        <f t="shared" si="7"/>
        <v>0.5</v>
      </c>
      <c r="X117" s="413"/>
      <c r="Y117" s="293"/>
      <c r="Z117" s="330">
        <f t="shared" si="13"/>
        <v>37</v>
      </c>
      <c r="AA117" s="416"/>
      <c r="AB117" s="331">
        <f t="shared" si="23"/>
        <v>32</v>
      </c>
      <c r="AC117" s="410">
        <f t="shared" ref="AC117:AC135" si="31">AC116</f>
        <v>0</v>
      </c>
      <c r="AD117" s="410">
        <f t="shared" si="8"/>
        <v>0</v>
      </c>
      <c r="AE117" s="413"/>
      <c r="AF117" s="293"/>
      <c r="AG117" s="330">
        <f t="shared" si="14"/>
        <v>37</v>
      </c>
      <c r="AH117" s="416"/>
      <c r="AI117" s="331">
        <f t="shared" si="24"/>
        <v>32</v>
      </c>
      <c r="AJ117" s="410">
        <f t="shared" ref="AJ117:AJ135" si="32">AJ116</f>
        <v>0</v>
      </c>
      <c r="AK117" s="410">
        <f t="shared" si="9"/>
        <v>0</v>
      </c>
      <c r="AL117" s="413"/>
      <c r="AM117" s="293"/>
      <c r="AN117" s="330">
        <f t="shared" si="15"/>
        <v>37</v>
      </c>
      <c r="AO117" s="416"/>
      <c r="AP117" s="331">
        <f t="shared" si="25"/>
        <v>32</v>
      </c>
      <c r="AQ117" s="410">
        <f t="shared" si="30"/>
        <v>0</v>
      </c>
      <c r="AR117" s="410">
        <f t="shared" si="10"/>
        <v>0</v>
      </c>
      <c r="AS117" s="413"/>
    </row>
    <row r="118" spans="1:45">
      <c r="A118" s="1424" t="s">
        <v>1012</v>
      </c>
      <c r="B118" s="1030"/>
      <c r="C118" s="1030"/>
      <c r="D118" s="1425">
        <f>E111+F116</f>
        <v>59766403.853701241</v>
      </c>
      <c r="E118" s="1425"/>
      <c r="F118" s="369" t="s">
        <v>115</v>
      </c>
      <c r="G118" s="92" t="s">
        <v>378</v>
      </c>
      <c r="L118" s="330">
        <f t="shared" si="11"/>
        <v>38</v>
      </c>
      <c r="M118" s="416"/>
      <c r="N118" s="331">
        <f t="shared" si="21"/>
        <v>33</v>
      </c>
      <c r="O118" s="410">
        <f t="shared" si="29"/>
        <v>0</v>
      </c>
      <c r="P118" s="410">
        <f t="shared" si="6"/>
        <v>0</v>
      </c>
      <c r="Q118" s="413"/>
      <c r="R118" s="293"/>
      <c r="S118" s="330">
        <f t="shared" si="12"/>
        <v>38</v>
      </c>
      <c r="T118" s="416"/>
      <c r="U118" s="331">
        <f t="shared" si="22"/>
        <v>33</v>
      </c>
      <c r="V118" s="410">
        <f t="shared" si="26"/>
        <v>0.5</v>
      </c>
      <c r="W118" s="410">
        <f t="shared" si="7"/>
        <v>0.5</v>
      </c>
      <c r="X118" s="413"/>
      <c r="Y118" s="293"/>
      <c r="Z118" s="330">
        <f t="shared" si="13"/>
        <v>38</v>
      </c>
      <c r="AA118" s="416"/>
      <c r="AB118" s="331">
        <f t="shared" si="23"/>
        <v>33</v>
      </c>
      <c r="AC118" s="410">
        <f t="shared" si="31"/>
        <v>0</v>
      </c>
      <c r="AD118" s="410">
        <f t="shared" si="8"/>
        <v>0</v>
      </c>
      <c r="AE118" s="413"/>
      <c r="AF118" s="293"/>
      <c r="AG118" s="330">
        <f t="shared" si="14"/>
        <v>38</v>
      </c>
      <c r="AH118" s="416"/>
      <c r="AI118" s="331">
        <f t="shared" si="24"/>
        <v>33</v>
      </c>
      <c r="AJ118" s="410">
        <f t="shared" si="32"/>
        <v>0</v>
      </c>
      <c r="AK118" s="410">
        <f t="shared" si="9"/>
        <v>0</v>
      </c>
      <c r="AL118" s="413"/>
      <c r="AM118" s="293"/>
      <c r="AN118" s="330">
        <f t="shared" si="15"/>
        <v>38</v>
      </c>
      <c r="AO118" s="416"/>
      <c r="AP118" s="331">
        <f t="shared" si="25"/>
        <v>33</v>
      </c>
      <c r="AQ118" s="410">
        <f t="shared" si="30"/>
        <v>0</v>
      </c>
      <c r="AR118" s="410">
        <f t="shared" si="10"/>
        <v>0</v>
      </c>
      <c r="AS118" s="413"/>
    </row>
    <row r="119" spans="1:45">
      <c r="A119" s="1032" t="s">
        <v>374</v>
      </c>
      <c r="B119" s="1033"/>
      <c r="C119" s="1033"/>
      <c r="D119" s="1426">
        <f>D118/(C72*1000)</f>
        <v>597.6640385370124</v>
      </c>
      <c r="E119" s="1426"/>
      <c r="F119" s="364" t="s">
        <v>375</v>
      </c>
      <c r="G119" s="94" t="s">
        <v>378</v>
      </c>
      <c r="L119" s="330">
        <f t="shared" si="11"/>
        <v>39</v>
      </c>
      <c r="M119" s="416"/>
      <c r="N119" s="331">
        <f t="shared" si="21"/>
        <v>34</v>
      </c>
      <c r="O119" s="410">
        <f t="shared" si="29"/>
        <v>0</v>
      </c>
      <c r="P119" s="410">
        <f t="shared" si="6"/>
        <v>0</v>
      </c>
      <c r="Q119" s="413"/>
      <c r="R119" s="293"/>
      <c r="S119" s="330">
        <f t="shared" si="12"/>
        <v>39</v>
      </c>
      <c r="T119" s="416"/>
      <c r="U119" s="331">
        <f t="shared" si="22"/>
        <v>34</v>
      </c>
      <c r="V119" s="410">
        <f t="shared" si="26"/>
        <v>0.5</v>
      </c>
      <c r="W119" s="410">
        <f t="shared" si="7"/>
        <v>0.5</v>
      </c>
      <c r="X119" s="413"/>
      <c r="Y119" s="293"/>
      <c r="Z119" s="330">
        <f t="shared" si="13"/>
        <v>39</v>
      </c>
      <c r="AA119" s="416"/>
      <c r="AB119" s="331">
        <f t="shared" si="23"/>
        <v>34</v>
      </c>
      <c r="AC119" s="410">
        <f t="shared" si="31"/>
        <v>0</v>
      </c>
      <c r="AD119" s="410">
        <f t="shared" si="8"/>
        <v>0</v>
      </c>
      <c r="AE119" s="413"/>
      <c r="AF119" s="293"/>
      <c r="AG119" s="330">
        <f t="shared" si="14"/>
        <v>39</v>
      </c>
      <c r="AH119" s="416"/>
      <c r="AI119" s="331">
        <f t="shared" si="24"/>
        <v>34</v>
      </c>
      <c r="AJ119" s="410">
        <f t="shared" si="32"/>
        <v>0</v>
      </c>
      <c r="AK119" s="410">
        <f t="shared" si="9"/>
        <v>0</v>
      </c>
      <c r="AL119" s="413"/>
      <c r="AM119" s="293"/>
      <c r="AN119" s="330">
        <f t="shared" si="15"/>
        <v>39</v>
      </c>
      <c r="AO119" s="416"/>
      <c r="AP119" s="331">
        <f t="shared" si="25"/>
        <v>34</v>
      </c>
      <c r="AQ119" s="410">
        <f t="shared" si="30"/>
        <v>0</v>
      </c>
      <c r="AR119" s="410">
        <f t="shared" si="10"/>
        <v>0</v>
      </c>
      <c r="AS119" s="413"/>
    </row>
    <row r="120" spans="1:45">
      <c r="A120" s="1143" t="s">
        <v>377</v>
      </c>
      <c r="B120" s="1144"/>
      <c r="C120" s="1144"/>
      <c r="D120" s="1428">
        <f>-PMT($B$78,D72,D119,,0)</f>
        <v>37.918368416303615</v>
      </c>
      <c r="E120" s="1428"/>
      <c r="F120" s="365" t="s">
        <v>376</v>
      </c>
      <c r="G120" s="98" t="s">
        <v>379</v>
      </c>
      <c r="L120" s="330">
        <f t="shared" si="11"/>
        <v>40</v>
      </c>
      <c r="M120" s="416"/>
      <c r="N120" s="331">
        <f t="shared" si="21"/>
        <v>35</v>
      </c>
      <c r="O120" s="410">
        <f t="shared" si="29"/>
        <v>0</v>
      </c>
      <c r="P120" s="410">
        <f t="shared" si="6"/>
        <v>0</v>
      </c>
      <c r="Q120" s="413"/>
      <c r="R120" s="293"/>
      <c r="S120" s="330">
        <f t="shared" si="12"/>
        <v>40</v>
      </c>
      <c r="T120" s="416"/>
      <c r="U120" s="331">
        <f t="shared" si="22"/>
        <v>35</v>
      </c>
      <c r="V120" s="410">
        <f t="shared" si="26"/>
        <v>0.5</v>
      </c>
      <c r="W120" s="410">
        <f t="shared" si="7"/>
        <v>0.5</v>
      </c>
      <c r="X120" s="413"/>
      <c r="Y120" s="293"/>
      <c r="Z120" s="330">
        <f t="shared" si="13"/>
        <v>40</v>
      </c>
      <c r="AA120" s="416"/>
      <c r="AB120" s="331">
        <f t="shared" si="23"/>
        <v>35</v>
      </c>
      <c r="AC120" s="410">
        <f t="shared" si="31"/>
        <v>0</v>
      </c>
      <c r="AD120" s="410">
        <f t="shared" si="8"/>
        <v>0</v>
      </c>
      <c r="AE120" s="413"/>
      <c r="AF120" s="293"/>
      <c r="AG120" s="330">
        <f t="shared" si="14"/>
        <v>40</v>
      </c>
      <c r="AH120" s="416"/>
      <c r="AI120" s="331">
        <f t="shared" si="24"/>
        <v>35</v>
      </c>
      <c r="AJ120" s="410">
        <f t="shared" si="32"/>
        <v>0</v>
      </c>
      <c r="AK120" s="410">
        <f t="shared" si="9"/>
        <v>0</v>
      </c>
      <c r="AL120" s="413"/>
      <c r="AM120" s="293"/>
      <c r="AN120" s="330">
        <f t="shared" si="15"/>
        <v>40</v>
      </c>
      <c r="AO120" s="416"/>
      <c r="AP120" s="331">
        <f t="shared" si="25"/>
        <v>35</v>
      </c>
      <c r="AQ120" s="410">
        <f t="shared" si="30"/>
        <v>0</v>
      </c>
      <c r="AR120" s="410">
        <f t="shared" si="10"/>
        <v>0</v>
      </c>
      <c r="AS120" s="413"/>
    </row>
    <row r="121" spans="1:45" ht="15.75" thickBot="1">
      <c r="A121" s="1033"/>
      <c r="B121" s="1033"/>
      <c r="C121" s="1033"/>
      <c r="D121" s="1429"/>
      <c r="E121" s="1429"/>
      <c r="F121" s="364"/>
      <c r="G121" s="95"/>
      <c r="H121" s="95"/>
      <c r="I121" s="95"/>
      <c r="J121" s="95"/>
      <c r="L121" s="330">
        <f t="shared" si="11"/>
        <v>41</v>
      </c>
      <c r="M121" s="416"/>
      <c r="N121" s="331">
        <f t="shared" si="21"/>
        <v>36</v>
      </c>
      <c r="O121" s="410">
        <f t="shared" si="29"/>
        <v>0</v>
      </c>
      <c r="P121" s="410">
        <f t="shared" si="6"/>
        <v>0</v>
      </c>
      <c r="Q121" s="413"/>
      <c r="R121" s="293"/>
      <c r="S121" s="330">
        <f t="shared" si="12"/>
        <v>41</v>
      </c>
      <c r="T121" s="416"/>
      <c r="U121" s="331">
        <f t="shared" si="22"/>
        <v>36</v>
      </c>
      <c r="V121" s="410">
        <f t="shared" si="26"/>
        <v>0.5</v>
      </c>
      <c r="W121" s="410">
        <f t="shared" si="7"/>
        <v>0.5</v>
      </c>
      <c r="X121" s="413"/>
      <c r="Y121" s="293"/>
      <c r="Z121" s="330">
        <f t="shared" si="13"/>
        <v>41</v>
      </c>
      <c r="AA121" s="416"/>
      <c r="AB121" s="331">
        <f t="shared" si="23"/>
        <v>36</v>
      </c>
      <c r="AC121" s="410">
        <f t="shared" si="31"/>
        <v>0</v>
      </c>
      <c r="AD121" s="410">
        <f t="shared" si="8"/>
        <v>0</v>
      </c>
      <c r="AE121" s="413"/>
      <c r="AF121" s="293"/>
      <c r="AG121" s="330">
        <f t="shared" si="14"/>
        <v>41</v>
      </c>
      <c r="AH121" s="416"/>
      <c r="AI121" s="331">
        <f t="shared" si="24"/>
        <v>36</v>
      </c>
      <c r="AJ121" s="410">
        <f t="shared" si="32"/>
        <v>0</v>
      </c>
      <c r="AK121" s="410">
        <f t="shared" si="9"/>
        <v>0</v>
      </c>
      <c r="AL121" s="413"/>
      <c r="AM121" s="293"/>
      <c r="AN121" s="330">
        <f t="shared" si="15"/>
        <v>41</v>
      </c>
      <c r="AO121" s="416"/>
      <c r="AP121" s="331">
        <f t="shared" si="25"/>
        <v>36</v>
      </c>
      <c r="AQ121" s="410">
        <f t="shared" si="30"/>
        <v>0</v>
      </c>
      <c r="AR121" s="410">
        <f t="shared" si="10"/>
        <v>0</v>
      </c>
      <c r="AS121" s="413"/>
    </row>
    <row r="122" spans="1:45" ht="15.75" thickBot="1">
      <c r="A122" s="1364" t="str">
        <f>A73</f>
        <v>Gás</v>
      </c>
      <c r="B122" s="1365"/>
      <c r="C122" s="1365"/>
      <c r="D122" s="1365"/>
      <c r="E122" s="1365"/>
      <c r="F122" s="1365"/>
      <c r="G122" s="1365"/>
      <c r="H122" s="1365"/>
      <c r="I122" s="1365"/>
      <c r="J122" s="1366"/>
      <c r="L122" s="330">
        <f t="shared" si="11"/>
        <v>42</v>
      </c>
      <c r="M122" s="416"/>
      <c r="N122" s="331">
        <f t="shared" si="21"/>
        <v>37</v>
      </c>
      <c r="O122" s="410">
        <f t="shared" si="29"/>
        <v>0</v>
      </c>
      <c r="P122" s="410">
        <f t="shared" si="6"/>
        <v>0</v>
      </c>
      <c r="Q122" s="413"/>
      <c r="R122" s="293"/>
      <c r="S122" s="330">
        <f t="shared" si="12"/>
        <v>42</v>
      </c>
      <c r="T122" s="416"/>
      <c r="U122" s="331">
        <f t="shared" si="22"/>
        <v>37</v>
      </c>
      <c r="V122" s="410">
        <f t="shared" si="26"/>
        <v>0.5</v>
      </c>
      <c r="W122" s="410">
        <f t="shared" si="7"/>
        <v>0.5</v>
      </c>
      <c r="X122" s="413"/>
      <c r="Y122" s="293"/>
      <c r="Z122" s="330">
        <f t="shared" si="13"/>
        <v>42</v>
      </c>
      <c r="AA122" s="416"/>
      <c r="AB122" s="331">
        <f t="shared" si="23"/>
        <v>37</v>
      </c>
      <c r="AC122" s="410">
        <f t="shared" si="31"/>
        <v>0</v>
      </c>
      <c r="AD122" s="410">
        <f t="shared" si="8"/>
        <v>0</v>
      </c>
      <c r="AE122" s="413"/>
      <c r="AF122" s="293"/>
      <c r="AG122" s="330">
        <f t="shared" si="14"/>
        <v>42</v>
      </c>
      <c r="AH122" s="416"/>
      <c r="AI122" s="331">
        <f t="shared" si="24"/>
        <v>37</v>
      </c>
      <c r="AJ122" s="410">
        <f t="shared" si="32"/>
        <v>0</v>
      </c>
      <c r="AK122" s="410">
        <f t="shared" si="9"/>
        <v>0</v>
      </c>
      <c r="AL122" s="413"/>
      <c r="AM122" s="293"/>
      <c r="AN122" s="330">
        <f t="shared" si="15"/>
        <v>42</v>
      </c>
      <c r="AO122" s="416"/>
      <c r="AP122" s="331">
        <f t="shared" si="25"/>
        <v>37</v>
      </c>
      <c r="AQ122" s="410">
        <f t="shared" si="30"/>
        <v>0</v>
      </c>
      <c r="AR122" s="410">
        <f t="shared" si="10"/>
        <v>0</v>
      </c>
      <c r="AS122" s="413"/>
    </row>
    <row r="123" spans="1:45" ht="15.75" thickBot="1">
      <c r="A123" s="373"/>
      <c r="B123" s="373" t="s">
        <v>373</v>
      </c>
      <c r="C123" s="373"/>
      <c r="D123" s="373"/>
      <c r="L123" s="330">
        <f t="shared" si="11"/>
        <v>43</v>
      </c>
      <c r="M123" s="416"/>
      <c r="N123" s="331">
        <f t="shared" si="21"/>
        <v>38</v>
      </c>
      <c r="O123" s="410">
        <f t="shared" si="29"/>
        <v>0</v>
      </c>
      <c r="P123" s="410">
        <f t="shared" si="6"/>
        <v>0</v>
      </c>
      <c r="Q123" s="413"/>
      <c r="R123" s="293"/>
      <c r="S123" s="330">
        <f t="shared" si="12"/>
        <v>43</v>
      </c>
      <c r="T123" s="416"/>
      <c r="U123" s="331">
        <f t="shared" si="22"/>
        <v>38</v>
      </c>
      <c r="V123" s="410">
        <f t="shared" si="26"/>
        <v>0.5</v>
      </c>
      <c r="W123" s="410">
        <f t="shared" si="7"/>
        <v>0.5</v>
      </c>
      <c r="X123" s="413"/>
      <c r="Y123" s="293"/>
      <c r="Z123" s="330">
        <f t="shared" si="13"/>
        <v>43</v>
      </c>
      <c r="AA123" s="416"/>
      <c r="AB123" s="331">
        <f t="shared" si="23"/>
        <v>38</v>
      </c>
      <c r="AC123" s="410">
        <f t="shared" si="31"/>
        <v>0</v>
      </c>
      <c r="AD123" s="410">
        <f t="shared" si="8"/>
        <v>0</v>
      </c>
      <c r="AE123" s="413"/>
      <c r="AF123" s="293"/>
      <c r="AG123" s="330">
        <f t="shared" si="14"/>
        <v>43</v>
      </c>
      <c r="AH123" s="416"/>
      <c r="AI123" s="331">
        <f t="shared" si="24"/>
        <v>38</v>
      </c>
      <c r="AJ123" s="410">
        <f t="shared" si="32"/>
        <v>0</v>
      </c>
      <c r="AK123" s="410">
        <f t="shared" si="9"/>
        <v>0</v>
      </c>
      <c r="AL123" s="413"/>
      <c r="AM123" s="293"/>
      <c r="AN123" s="330">
        <f t="shared" si="15"/>
        <v>43</v>
      </c>
      <c r="AO123" s="416"/>
      <c r="AP123" s="331">
        <f t="shared" si="25"/>
        <v>38</v>
      </c>
      <c r="AQ123" s="410">
        <f t="shared" si="30"/>
        <v>0</v>
      </c>
      <c r="AR123" s="410">
        <f t="shared" si="10"/>
        <v>0</v>
      </c>
      <c r="AS123" s="413"/>
    </row>
    <row r="124" spans="1:45">
      <c r="A124" s="367" t="s">
        <v>230</v>
      </c>
      <c r="B124" s="211">
        <v>0</v>
      </c>
      <c r="C124" s="367"/>
      <c r="H124" s="1486" t="s">
        <v>1021</v>
      </c>
      <c r="I124" s="1487"/>
      <c r="J124" s="1136"/>
      <c r="L124" s="330">
        <f t="shared" si="11"/>
        <v>44</v>
      </c>
      <c r="M124" s="416"/>
      <c r="N124" s="331">
        <f t="shared" si="21"/>
        <v>39</v>
      </c>
      <c r="O124" s="410">
        <f t="shared" si="29"/>
        <v>0</v>
      </c>
      <c r="P124" s="410">
        <f t="shared" si="6"/>
        <v>0</v>
      </c>
      <c r="Q124" s="413"/>
      <c r="R124" s="293"/>
      <c r="S124" s="330">
        <f t="shared" si="12"/>
        <v>44</v>
      </c>
      <c r="T124" s="416"/>
      <c r="U124" s="331">
        <f t="shared" si="22"/>
        <v>39</v>
      </c>
      <c r="V124" s="410">
        <f t="shared" si="26"/>
        <v>0.5</v>
      </c>
      <c r="W124" s="410">
        <f t="shared" si="7"/>
        <v>0.5</v>
      </c>
      <c r="X124" s="413"/>
      <c r="Y124" s="293"/>
      <c r="Z124" s="330">
        <f t="shared" si="13"/>
        <v>44</v>
      </c>
      <c r="AA124" s="416"/>
      <c r="AB124" s="331">
        <f t="shared" si="23"/>
        <v>39</v>
      </c>
      <c r="AC124" s="410">
        <f t="shared" si="31"/>
        <v>0</v>
      </c>
      <c r="AD124" s="410">
        <f t="shared" si="8"/>
        <v>0</v>
      </c>
      <c r="AE124" s="413"/>
      <c r="AF124" s="293"/>
      <c r="AG124" s="330">
        <f t="shared" si="14"/>
        <v>44</v>
      </c>
      <c r="AH124" s="416"/>
      <c r="AI124" s="331">
        <f t="shared" si="24"/>
        <v>39</v>
      </c>
      <c r="AJ124" s="410">
        <f t="shared" si="32"/>
        <v>0</v>
      </c>
      <c r="AK124" s="410">
        <f t="shared" si="9"/>
        <v>0</v>
      </c>
      <c r="AL124" s="413"/>
      <c r="AM124" s="293"/>
      <c r="AN124" s="330">
        <f t="shared" si="15"/>
        <v>44</v>
      </c>
      <c r="AO124" s="416"/>
      <c r="AP124" s="331">
        <f t="shared" si="25"/>
        <v>39</v>
      </c>
      <c r="AQ124" s="410">
        <f t="shared" si="30"/>
        <v>0</v>
      </c>
      <c r="AR124" s="410">
        <f t="shared" si="10"/>
        <v>0</v>
      </c>
      <c r="AS124" s="413"/>
    </row>
    <row r="125" spans="1:45">
      <c r="A125" s="367" t="s">
        <v>231</v>
      </c>
      <c r="B125" s="211">
        <v>0</v>
      </c>
      <c r="C125" s="367"/>
      <c r="H125" s="1488"/>
      <c r="I125" s="1287"/>
      <c r="J125" s="1138"/>
      <c r="L125" s="330">
        <f t="shared" si="11"/>
        <v>45</v>
      </c>
      <c r="M125" s="416"/>
      <c r="N125" s="331">
        <f t="shared" si="21"/>
        <v>40</v>
      </c>
      <c r="O125" s="410">
        <f t="shared" si="29"/>
        <v>0</v>
      </c>
      <c r="P125" s="410">
        <f t="shared" si="6"/>
        <v>0</v>
      </c>
      <c r="Q125" s="413"/>
      <c r="R125" s="293"/>
      <c r="S125" s="330">
        <f t="shared" si="12"/>
        <v>45</v>
      </c>
      <c r="T125" s="416"/>
      <c r="U125" s="331">
        <f t="shared" si="22"/>
        <v>40</v>
      </c>
      <c r="V125" s="410">
        <f t="shared" si="26"/>
        <v>0.5</v>
      </c>
      <c r="W125" s="410">
        <f t="shared" si="7"/>
        <v>0.5</v>
      </c>
      <c r="X125" s="413"/>
      <c r="Y125" s="293"/>
      <c r="Z125" s="330">
        <f t="shared" si="13"/>
        <v>45</v>
      </c>
      <c r="AA125" s="416"/>
      <c r="AB125" s="331">
        <f t="shared" si="23"/>
        <v>40</v>
      </c>
      <c r="AC125" s="410">
        <f t="shared" si="31"/>
        <v>0</v>
      </c>
      <c r="AD125" s="410">
        <f t="shared" si="8"/>
        <v>0</v>
      </c>
      <c r="AE125" s="413"/>
      <c r="AF125" s="293"/>
      <c r="AG125" s="330">
        <f t="shared" si="14"/>
        <v>45</v>
      </c>
      <c r="AH125" s="416"/>
      <c r="AI125" s="331">
        <f t="shared" si="24"/>
        <v>40</v>
      </c>
      <c r="AJ125" s="410">
        <f t="shared" si="32"/>
        <v>0</v>
      </c>
      <c r="AK125" s="410">
        <f t="shared" si="9"/>
        <v>0</v>
      </c>
      <c r="AL125" s="413"/>
      <c r="AM125" s="293"/>
      <c r="AN125" s="330">
        <f t="shared" si="15"/>
        <v>45</v>
      </c>
      <c r="AO125" s="416"/>
      <c r="AP125" s="331">
        <f t="shared" si="25"/>
        <v>40</v>
      </c>
      <c r="AQ125" s="410">
        <f t="shared" si="30"/>
        <v>0</v>
      </c>
      <c r="AR125" s="410">
        <f t="shared" si="10"/>
        <v>0</v>
      </c>
      <c r="AS125" s="413"/>
    </row>
    <row r="126" spans="1:45">
      <c r="A126" s="367" t="s">
        <v>232</v>
      </c>
      <c r="B126" s="211">
        <f>F73*10^6/3</f>
        <v>91666666.666666672</v>
      </c>
      <c r="C126" s="367" t="s">
        <v>115</v>
      </c>
      <c r="H126" s="1488"/>
      <c r="I126" s="1287"/>
      <c r="J126" s="1138"/>
      <c r="L126" s="330">
        <f t="shared" si="11"/>
        <v>46</v>
      </c>
      <c r="M126" s="416"/>
      <c r="N126" s="331">
        <f t="shared" si="21"/>
        <v>41</v>
      </c>
      <c r="O126" s="410">
        <f t="shared" si="29"/>
        <v>0</v>
      </c>
      <c r="P126" s="410">
        <f t="shared" si="6"/>
        <v>0</v>
      </c>
      <c r="Q126" s="413"/>
      <c r="R126" s="293"/>
      <c r="S126" s="330">
        <f t="shared" si="12"/>
        <v>46</v>
      </c>
      <c r="T126" s="416"/>
      <c r="U126" s="331">
        <f t="shared" si="22"/>
        <v>41</v>
      </c>
      <c r="V126" s="410">
        <f t="shared" si="26"/>
        <v>0.5</v>
      </c>
      <c r="W126" s="410">
        <f t="shared" si="7"/>
        <v>0.5</v>
      </c>
      <c r="X126" s="413"/>
      <c r="Y126" s="293"/>
      <c r="Z126" s="330">
        <f t="shared" si="13"/>
        <v>46</v>
      </c>
      <c r="AA126" s="416"/>
      <c r="AB126" s="331">
        <f t="shared" si="23"/>
        <v>41</v>
      </c>
      <c r="AC126" s="410">
        <f t="shared" si="31"/>
        <v>0</v>
      </c>
      <c r="AD126" s="410">
        <f t="shared" si="8"/>
        <v>0</v>
      </c>
      <c r="AE126" s="413"/>
      <c r="AF126" s="293"/>
      <c r="AG126" s="330">
        <f t="shared" si="14"/>
        <v>46</v>
      </c>
      <c r="AH126" s="416"/>
      <c r="AI126" s="331">
        <f t="shared" si="24"/>
        <v>41</v>
      </c>
      <c r="AJ126" s="410">
        <f t="shared" si="32"/>
        <v>0</v>
      </c>
      <c r="AK126" s="410">
        <f t="shared" si="9"/>
        <v>0</v>
      </c>
      <c r="AL126" s="413"/>
      <c r="AM126" s="293"/>
      <c r="AN126" s="330">
        <f t="shared" si="15"/>
        <v>46</v>
      </c>
      <c r="AO126" s="416"/>
      <c r="AP126" s="331">
        <f t="shared" si="25"/>
        <v>41</v>
      </c>
      <c r="AQ126" s="410">
        <f t="shared" si="30"/>
        <v>0</v>
      </c>
      <c r="AR126" s="410">
        <f t="shared" si="10"/>
        <v>0</v>
      </c>
      <c r="AS126" s="413"/>
    </row>
    <row r="127" spans="1:45">
      <c r="A127" s="367" t="s">
        <v>233</v>
      </c>
      <c r="B127" s="211">
        <f>B126</f>
        <v>91666666.666666672</v>
      </c>
      <c r="C127" s="367" t="s">
        <v>115</v>
      </c>
      <c r="D127" s="211"/>
      <c r="E127" s="367"/>
      <c r="H127" s="1488"/>
      <c r="I127" s="1287"/>
      <c r="J127" s="1138"/>
      <c r="L127" s="330">
        <f t="shared" si="11"/>
        <v>47</v>
      </c>
      <c r="M127" s="416"/>
      <c r="N127" s="331">
        <f t="shared" si="21"/>
        <v>42</v>
      </c>
      <c r="O127" s="410">
        <f t="shared" si="29"/>
        <v>0</v>
      </c>
      <c r="P127" s="410">
        <f t="shared" si="6"/>
        <v>0</v>
      </c>
      <c r="Q127" s="413"/>
      <c r="R127" s="293"/>
      <c r="S127" s="330">
        <f t="shared" si="12"/>
        <v>47</v>
      </c>
      <c r="T127" s="416"/>
      <c r="U127" s="331">
        <f t="shared" si="22"/>
        <v>42</v>
      </c>
      <c r="V127" s="410">
        <f t="shared" si="26"/>
        <v>0.5</v>
      </c>
      <c r="W127" s="410">
        <f t="shared" si="7"/>
        <v>0.5</v>
      </c>
      <c r="X127" s="413"/>
      <c r="Y127" s="293"/>
      <c r="Z127" s="330">
        <f t="shared" si="13"/>
        <v>47</v>
      </c>
      <c r="AA127" s="416"/>
      <c r="AB127" s="331">
        <f t="shared" si="23"/>
        <v>42</v>
      </c>
      <c r="AC127" s="410">
        <f t="shared" si="31"/>
        <v>0</v>
      </c>
      <c r="AD127" s="410">
        <f t="shared" si="8"/>
        <v>0</v>
      </c>
      <c r="AE127" s="413"/>
      <c r="AF127" s="293"/>
      <c r="AG127" s="330">
        <f t="shared" si="14"/>
        <v>47</v>
      </c>
      <c r="AH127" s="416"/>
      <c r="AI127" s="331">
        <f t="shared" si="24"/>
        <v>42</v>
      </c>
      <c r="AJ127" s="410">
        <f t="shared" si="32"/>
        <v>0</v>
      </c>
      <c r="AK127" s="410">
        <f t="shared" si="9"/>
        <v>0</v>
      </c>
      <c r="AL127" s="413"/>
      <c r="AM127" s="293"/>
      <c r="AN127" s="330">
        <f t="shared" si="15"/>
        <v>47</v>
      </c>
      <c r="AO127" s="416"/>
      <c r="AP127" s="331">
        <f t="shared" si="25"/>
        <v>42</v>
      </c>
      <c r="AQ127" s="410">
        <f t="shared" si="30"/>
        <v>0</v>
      </c>
      <c r="AR127" s="410">
        <f t="shared" si="10"/>
        <v>0</v>
      </c>
      <c r="AS127" s="413"/>
    </row>
    <row r="128" spans="1:45" ht="15.75" thickBot="1">
      <c r="A128" s="367" t="s">
        <v>234</v>
      </c>
      <c r="B128" s="211">
        <f>B127</f>
        <v>91666666.666666672</v>
      </c>
      <c r="C128" s="367" t="s">
        <v>115</v>
      </c>
      <c r="D128" s="211"/>
      <c r="E128" s="367"/>
      <c r="H128" s="1489"/>
      <c r="I128" s="1490"/>
      <c r="J128" s="1141"/>
      <c r="L128" s="330">
        <f t="shared" si="11"/>
        <v>48</v>
      </c>
      <c r="M128" s="416"/>
      <c r="N128" s="331">
        <f t="shared" si="21"/>
        <v>43</v>
      </c>
      <c r="O128" s="410">
        <f t="shared" si="29"/>
        <v>0</v>
      </c>
      <c r="P128" s="410">
        <f t="shared" si="6"/>
        <v>0</v>
      </c>
      <c r="Q128" s="413"/>
      <c r="R128" s="293"/>
      <c r="S128" s="330">
        <f t="shared" si="12"/>
        <v>48</v>
      </c>
      <c r="T128" s="416"/>
      <c r="U128" s="331">
        <f t="shared" si="22"/>
        <v>43</v>
      </c>
      <c r="V128" s="410">
        <f t="shared" si="26"/>
        <v>0.5</v>
      </c>
      <c r="W128" s="410">
        <f t="shared" si="7"/>
        <v>0.5</v>
      </c>
      <c r="X128" s="413"/>
      <c r="Y128" s="293"/>
      <c r="Z128" s="330">
        <f t="shared" si="13"/>
        <v>48</v>
      </c>
      <c r="AA128" s="416"/>
      <c r="AB128" s="331">
        <f t="shared" si="23"/>
        <v>43</v>
      </c>
      <c r="AC128" s="410">
        <f t="shared" si="31"/>
        <v>0</v>
      </c>
      <c r="AD128" s="410">
        <f t="shared" si="8"/>
        <v>0</v>
      </c>
      <c r="AE128" s="413"/>
      <c r="AF128" s="293"/>
      <c r="AG128" s="330">
        <f t="shared" si="14"/>
        <v>48</v>
      </c>
      <c r="AH128" s="416"/>
      <c r="AI128" s="331">
        <f t="shared" si="24"/>
        <v>43</v>
      </c>
      <c r="AJ128" s="410">
        <f t="shared" si="32"/>
        <v>0</v>
      </c>
      <c r="AK128" s="410">
        <f t="shared" si="9"/>
        <v>0</v>
      </c>
      <c r="AL128" s="413"/>
      <c r="AM128" s="293"/>
      <c r="AN128" s="330">
        <f t="shared" si="15"/>
        <v>48</v>
      </c>
      <c r="AO128" s="416"/>
      <c r="AP128" s="331">
        <f t="shared" si="25"/>
        <v>43</v>
      </c>
      <c r="AQ128" s="410">
        <f t="shared" si="30"/>
        <v>0</v>
      </c>
      <c r="AR128" s="410">
        <f t="shared" si="10"/>
        <v>0</v>
      </c>
      <c r="AS128" s="413"/>
    </row>
    <row r="129" spans="1:45">
      <c r="A129" s="959" t="s">
        <v>1007</v>
      </c>
      <c r="L129" s="330">
        <f t="shared" si="11"/>
        <v>49</v>
      </c>
      <c r="M129" s="416"/>
      <c r="N129" s="331">
        <f t="shared" si="21"/>
        <v>44</v>
      </c>
      <c r="O129" s="410">
        <f t="shared" si="29"/>
        <v>0</v>
      </c>
      <c r="P129" s="410">
        <f t="shared" si="6"/>
        <v>0</v>
      </c>
      <c r="Q129" s="413"/>
      <c r="R129" s="293"/>
      <c r="S129" s="330">
        <f t="shared" si="12"/>
        <v>49</v>
      </c>
      <c r="T129" s="416"/>
      <c r="U129" s="331">
        <f t="shared" si="22"/>
        <v>44</v>
      </c>
      <c r="V129" s="410">
        <f t="shared" si="26"/>
        <v>0.5</v>
      </c>
      <c r="W129" s="410">
        <f t="shared" si="7"/>
        <v>0.5</v>
      </c>
      <c r="X129" s="413"/>
      <c r="Y129" s="293"/>
      <c r="Z129" s="330">
        <f t="shared" si="13"/>
        <v>49</v>
      </c>
      <c r="AA129" s="416"/>
      <c r="AB129" s="331">
        <f t="shared" si="23"/>
        <v>44</v>
      </c>
      <c r="AC129" s="410">
        <f t="shared" si="31"/>
        <v>0</v>
      </c>
      <c r="AD129" s="410">
        <f t="shared" si="8"/>
        <v>0</v>
      </c>
      <c r="AE129" s="413"/>
      <c r="AF129" s="293"/>
      <c r="AG129" s="330">
        <f t="shared" si="14"/>
        <v>49</v>
      </c>
      <c r="AH129" s="416"/>
      <c r="AI129" s="331">
        <f t="shared" si="24"/>
        <v>44</v>
      </c>
      <c r="AJ129" s="410">
        <f t="shared" si="32"/>
        <v>0</v>
      </c>
      <c r="AK129" s="410">
        <f t="shared" si="9"/>
        <v>0</v>
      </c>
      <c r="AL129" s="413"/>
      <c r="AM129" s="293"/>
      <c r="AN129" s="330">
        <f t="shared" si="15"/>
        <v>49</v>
      </c>
      <c r="AO129" s="416"/>
      <c r="AP129" s="331">
        <f t="shared" si="25"/>
        <v>44</v>
      </c>
      <c r="AQ129" s="410">
        <f t="shared" si="30"/>
        <v>0</v>
      </c>
      <c r="AR129" s="410">
        <f t="shared" si="10"/>
        <v>0</v>
      </c>
      <c r="AS129" s="413"/>
    </row>
    <row r="130" spans="1:45">
      <c r="A130" s="959" t="s">
        <v>1008</v>
      </c>
      <c r="D130" s="373" t="s">
        <v>714</v>
      </c>
      <c r="E130" s="211">
        <f>-PV($B$102,3,,B126,0)-PV($B$102,4,,B127,0)-PV($B$102,5,,B128,0)</f>
        <v>218072352.58750141</v>
      </c>
      <c r="F130" s="367" t="s">
        <v>115</v>
      </c>
      <c r="G130" s="49" t="s">
        <v>378</v>
      </c>
      <c r="L130" s="330">
        <v>50</v>
      </c>
      <c r="M130" s="416"/>
      <c r="N130" s="331">
        <f t="shared" si="21"/>
        <v>45</v>
      </c>
      <c r="O130" s="410">
        <f t="shared" si="29"/>
        <v>0</v>
      </c>
      <c r="P130" s="410">
        <f t="shared" si="6"/>
        <v>0</v>
      </c>
      <c r="Q130" s="413"/>
      <c r="R130" s="293"/>
      <c r="S130" s="330">
        <v>50</v>
      </c>
      <c r="T130" s="416"/>
      <c r="U130" s="331">
        <f t="shared" si="22"/>
        <v>45</v>
      </c>
      <c r="V130" s="410">
        <f t="shared" si="26"/>
        <v>0.5</v>
      </c>
      <c r="W130" s="410">
        <f t="shared" si="7"/>
        <v>0.5</v>
      </c>
      <c r="X130" s="413"/>
      <c r="Y130" s="293"/>
      <c r="Z130" s="330">
        <v>50</v>
      </c>
      <c r="AA130" s="416"/>
      <c r="AB130" s="331">
        <f t="shared" si="23"/>
        <v>45</v>
      </c>
      <c r="AC130" s="410">
        <f t="shared" si="31"/>
        <v>0</v>
      </c>
      <c r="AD130" s="410">
        <f t="shared" si="8"/>
        <v>0</v>
      </c>
      <c r="AE130" s="413"/>
      <c r="AF130" s="293"/>
      <c r="AG130" s="330">
        <v>50</v>
      </c>
      <c r="AH130" s="416"/>
      <c r="AI130" s="331">
        <f t="shared" si="24"/>
        <v>45</v>
      </c>
      <c r="AJ130" s="410">
        <f t="shared" si="32"/>
        <v>0</v>
      </c>
      <c r="AK130" s="410">
        <f t="shared" si="9"/>
        <v>0</v>
      </c>
      <c r="AL130" s="413"/>
      <c r="AM130" s="293"/>
      <c r="AN130" s="330">
        <v>50</v>
      </c>
      <c r="AO130" s="416"/>
      <c r="AP130" s="331">
        <f t="shared" si="25"/>
        <v>45</v>
      </c>
      <c r="AQ130" s="410">
        <f t="shared" si="30"/>
        <v>0</v>
      </c>
      <c r="AR130" s="410">
        <f t="shared" si="10"/>
        <v>0</v>
      </c>
      <c r="AS130" s="413"/>
    </row>
    <row r="131" spans="1:45" ht="15" customHeight="1">
      <c r="A131" s="959" t="s">
        <v>1009</v>
      </c>
      <c r="D131" s="1114" t="s">
        <v>1022</v>
      </c>
      <c r="E131" s="1114"/>
      <c r="F131" s="1114"/>
      <c r="G131" s="1114"/>
      <c r="H131" s="1114"/>
      <c r="I131" s="1114"/>
      <c r="J131" s="1115"/>
      <c r="L131" s="330">
        <v>51</v>
      </c>
      <c r="M131" s="416"/>
      <c r="N131" s="331">
        <f t="shared" si="21"/>
        <v>46</v>
      </c>
      <c r="O131" s="410">
        <f t="shared" si="29"/>
        <v>0</v>
      </c>
      <c r="P131" s="410">
        <f t="shared" si="6"/>
        <v>0</v>
      </c>
      <c r="Q131" s="413"/>
      <c r="R131" s="293"/>
      <c r="S131" s="330">
        <v>51</v>
      </c>
      <c r="T131" s="416"/>
      <c r="U131" s="331">
        <f t="shared" si="22"/>
        <v>46</v>
      </c>
      <c r="V131" s="410">
        <f t="shared" si="26"/>
        <v>0.5</v>
      </c>
      <c r="W131" s="410">
        <f t="shared" si="7"/>
        <v>0.5</v>
      </c>
      <c r="X131" s="413"/>
      <c r="Y131" s="293"/>
      <c r="Z131" s="330">
        <v>51</v>
      </c>
      <c r="AA131" s="416"/>
      <c r="AB131" s="331">
        <f t="shared" si="23"/>
        <v>46</v>
      </c>
      <c r="AC131" s="410">
        <f t="shared" si="31"/>
        <v>0</v>
      </c>
      <c r="AD131" s="410">
        <f t="shared" si="8"/>
        <v>0</v>
      </c>
      <c r="AE131" s="413"/>
      <c r="AF131" s="293"/>
      <c r="AG131" s="330">
        <v>51</v>
      </c>
      <c r="AH131" s="416"/>
      <c r="AI131" s="331">
        <f t="shared" si="24"/>
        <v>46</v>
      </c>
      <c r="AJ131" s="410">
        <f t="shared" si="32"/>
        <v>0</v>
      </c>
      <c r="AK131" s="410">
        <f t="shared" si="9"/>
        <v>0</v>
      </c>
      <c r="AL131" s="413"/>
      <c r="AM131" s="293"/>
      <c r="AN131" s="330">
        <v>51</v>
      </c>
      <c r="AO131" s="416"/>
      <c r="AP131" s="331">
        <f t="shared" si="25"/>
        <v>46</v>
      </c>
      <c r="AQ131" s="410">
        <f t="shared" si="30"/>
        <v>0</v>
      </c>
      <c r="AR131" s="410">
        <f t="shared" si="10"/>
        <v>0</v>
      </c>
      <c r="AS131" s="413"/>
    </row>
    <row r="132" spans="1:45">
      <c r="D132" s="1114"/>
      <c r="E132" s="1114"/>
      <c r="F132" s="1114"/>
      <c r="G132" s="1114"/>
      <c r="H132" s="1114"/>
      <c r="I132" s="1114"/>
      <c r="J132" s="1115"/>
      <c r="L132" s="330">
        <v>52</v>
      </c>
      <c r="M132" s="416"/>
      <c r="N132" s="331">
        <f t="shared" si="21"/>
        <v>47</v>
      </c>
      <c r="O132" s="410">
        <f t="shared" si="29"/>
        <v>0</v>
      </c>
      <c r="P132" s="410">
        <f t="shared" si="6"/>
        <v>0</v>
      </c>
      <c r="Q132" s="413"/>
      <c r="R132" s="293"/>
      <c r="S132" s="330">
        <v>52</v>
      </c>
      <c r="T132" s="416"/>
      <c r="U132" s="331">
        <f t="shared" si="22"/>
        <v>47</v>
      </c>
      <c r="V132" s="410">
        <f t="shared" si="26"/>
        <v>0.5</v>
      </c>
      <c r="W132" s="410">
        <f t="shared" si="7"/>
        <v>0.5</v>
      </c>
      <c r="X132" s="413"/>
      <c r="Y132" s="293"/>
      <c r="Z132" s="330">
        <v>52</v>
      </c>
      <c r="AA132" s="416"/>
      <c r="AB132" s="331">
        <f t="shared" si="23"/>
        <v>47</v>
      </c>
      <c r="AC132" s="410">
        <f t="shared" si="31"/>
        <v>0</v>
      </c>
      <c r="AD132" s="410">
        <f t="shared" si="8"/>
        <v>0</v>
      </c>
      <c r="AE132" s="413"/>
      <c r="AF132" s="293"/>
      <c r="AG132" s="330">
        <v>52</v>
      </c>
      <c r="AH132" s="416"/>
      <c r="AI132" s="331">
        <f t="shared" si="24"/>
        <v>47</v>
      </c>
      <c r="AJ132" s="410">
        <f t="shared" si="32"/>
        <v>0</v>
      </c>
      <c r="AK132" s="410">
        <f t="shared" si="9"/>
        <v>0</v>
      </c>
      <c r="AL132" s="413"/>
      <c r="AM132" s="293"/>
      <c r="AN132" s="330">
        <v>52</v>
      </c>
      <c r="AO132" s="416"/>
      <c r="AP132" s="331">
        <f t="shared" si="25"/>
        <v>47</v>
      </c>
      <c r="AQ132" s="410">
        <f t="shared" si="30"/>
        <v>0</v>
      </c>
      <c r="AR132" s="410">
        <f t="shared" si="10"/>
        <v>0</v>
      </c>
      <c r="AS132" s="413"/>
    </row>
    <row r="133" spans="1:45">
      <c r="B133" s="110"/>
      <c r="D133" s="1114"/>
      <c r="E133" s="1114"/>
      <c r="F133" s="1114"/>
      <c r="G133" s="1114"/>
      <c r="H133" s="1114"/>
      <c r="I133" s="1114"/>
      <c r="J133" s="1115"/>
      <c r="L133" s="330">
        <v>53</v>
      </c>
      <c r="M133" s="416"/>
      <c r="N133" s="331">
        <f t="shared" si="21"/>
        <v>48</v>
      </c>
      <c r="O133" s="410">
        <f t="shared" si="29"/>
        <v>0</v>
      </c>
      <c r="P133" s="410">
        <f t="shared" si="6"/>
        <v>0</v>
      </c>
      <c r="Q133" s="413"/>
      <c r="R133" s="293"/>
      <c r="S133" s="330">
        <v>53</v>
      </c>
      <c r="T133" s="416"/>
      <c r="U133" s="331">
        <f t="shared" si="22"/>
        <v>48</v>
      </c>
      <c r="V133" s="410">
        <f t="shared" si="26"/>
        <v>0.5</v>
      </c>
      <c r="W133" s="410">
        <f t="shared" si="7"/>
        <v>0.5</v>
      </c>
      <c r="X133" s="413"/>
      <c r="Y133" s="293"/>
      <c r="Z133" s="330">
        <v>53</v>
      </c>
      <c r="AA133" s="416"/>
      <c r="AB133" s="331">
        <f t="shared" si="23"/>
        <v>48</v>
      </c>
      <c r="AC133" s="410">
        <f t="shared" si="31"/>
        <v>0</v>
      </c>
      <c r="AD133" s="410">
        <f t="shared" si="8"/>
        <v>0</v>
      </c>
      <c r="AE133" s="413"/>
      <c r="AF133" s="293"/>
      <c r="AG133" s="330">
        <v>53</v>
      </c>
      <c r="AH133" s="416"/>
      <c r="AI133" s="331">
        <f t="shared" si="24"/>
        <v>48</v>
      </c>
      <c r="AJ133" s="410">
        <f t="shared" si="32"/>
        <v>0</v>
      </c>
      <c r="AK133" s="410">
        <f t="shared" si="9"/>
        <v>0</v>
      </c>
      <c r="AL133" s="413"/>
      <c r="AM133" s="293"/>
      <c r="AN133" s="330">
        <v>53</v>
      </c>
      <c r="AO133" s="416"/>
      <c r="AP133" s="331">
        <f t="shared" si="25"/>
        <v>48</v>
      </c>
      <c r="AQ133" s="410">
        <f t="shared" si="30"/>
        <v>0</v>
      </c>
      <c r="AR133" s="410">
        <f t="shared" si="10"/>
        <v>0</v>
      </c>
      <c r="AS133" s="413"/>
    </row>
    <row r="134" spans="1:45">
      <c r="D134" s="959" t="s">
        <v>1017</v>
      </c>
      <c r="F134" s="1423">
        <f>-PV($B$102,D73,(H73*10^6),,0)</f>
        <v>61941740.181702435</v>
      </c>
      <c r="G134" s="1423"/>
      <c r="H134" s="367" t="s">
        <v>115</v>
      </c>
      <c r="L134" s="330">
        <v>54</v>
      </c>
      <c r="M134" s="416"/>
      <c r="N134" s="331">
        <f t="shared" si="21"/>
        <v>49</v>
      </c>
      <c r="O134" s="410">
        <f t="shared" si="29"/>
        <v>0</v>
      </c>
      <c r="P134" s="410">
        <f t="shared" si="6"/>
        <v>0</v>
      </c>
      <c r="Q134" s="413"/>
      <c r="R134" s="293"/>
      <c r="S134" s="330">
        <v>54</v>
      </c>
      <c r="T134" s="416"/>
      <c r="U134" s="331">
        <f t="shared" si="22"/>
        <v>49</v>
      </c>
      <c r="V134" s="410">
        <f t="shared" si="26"/>
        <v>0.5</v>
      </c>
      <c r="W134" s="410">
        <f t="shared" si="7"/>
        <v>0.5</v>
      </c>
      <c r="X134" s="413"/>
      <c r="Y134" s="293"/>
      <c r="Z134" s="330">
        <v>54</v>
      </c>
      <c r="AA134" s="416"/>
      <c r="AB134" s="331">
        <f t="shared" si="23"/>
        <v>49</v>
      </c>
      <c r="AC134" s="410">
        <f t="shared" si="31"/>
        <v>0</v>
      </c>
      <c r="AD134" s="410">
        <f t="shared" si="8"/>
        <v>0</v>
      </c>
      <c r="AE134" s="413"/>
      <c r="AF134" s="293"/>
      <c r="AG134" s="330">
        <v>54</v>
      </c>
      <c r="AH134" s="416"/>
      <c r="AI134" s="331">
        <f t="shared" si="24"/>
        <v>49</v>
      </c>
      <c r="AJ134" s="410">
        <f t="shared" si="32"/>
        <v>0</v>
      </c>
      <c r="AK134" s="410">
        <f t="shared" si="9"/>
        <v>0</v>
      </c>
      <c r="AL134" s="413"/>
      <c r="AM134" s="293"/>
      <c r="AN134" s="330">
        <v>54</v>
      </c>
      <c r="AO134" s="416"/>
      <c r="AP134" s="331">
        <f t="shared" si="25"/>
        <v>49</v>
      </c>
      <c r="AQ134" s="410">
        <f t="shared" si="30"/>
        <v>0</v>
      </c>
      <c r="AR134" s="410">
        <f t="shared" si="10"/>
        <v>0</v>
      </c>
      <c r="AS134" s="413"/>
    </row>
    <row r="135" spans="1:45" ht="15.75" thickBot="1">
      <c r="D135" s="527" t="s">
        <v>1018</v>
      </c>
      <c r="F135" s="1423">
        <f>-PV($B$102,5,,F134,0)</f>
        <v>46286471.592322983</v>
      </c>
      <c r="G135" s="1423"/>
      <c r="H135" s="367" t="s">
        <v>115</v>
      </c>
      <c r="L135" s="346">
        <v>55</v>
      </c>
      <c r="M135" s="420"/>
      <c r="N135" s="421">
        <f t="shared" si="21"/>
        <v>50</v>
      </c>
      <c r="O135" s="422">
        <f t="shared" si="29"/>
        <v>0</v>
      </c>
      <c r="P135" s="422">
        <f t="shared" si="6"/>
        <v>0</v>
      </c>
      <c r="Q135" s="423"/>
      <c r="R135" s="293"/>
      <c r="S135" s="346">
        <v>55</v>
      </c>
      <c r="T135" s="420"/>
      <c r="U135" s="421">
        <f t="shared" si="22"/>
        <v>50</v>
      </c>
      <c r="V135" s="422">
        <f t="shared" si="26"/>
        <v>0.5</v>
      </c>
      <c r="W135" s="422">
        <f t="shared" si="7"/>
        <v>0.5</v>
      </c>
      <c r="X135" s="423"/>
      <c r="Y135" s="293"/>
      <c r="Z135" s="346">
        <v>55</v>
      </c>
      <c r="AA135" s="420"/>
      <c r="AB135" s="421">
        <f t="shared" si="23"/>
        <v>50</v>
      </c>
      <c r="AC135" s="422">
        <f t="shared" si="31"/>
        <v>0</v>
      </c>
      <c r="AD135" s="422">
        <f t="shared" si="8"/>
        <v>0</v>
      </c>
      <c r="AE135" s="423"/>
      <c r="AF135" s="293"/>
      <c r="AG135" s="346">
        <v>55</v>
      </c>
      <c r="AH135" s="420"/>
      <c r="AI135" s="421">
        <f t="shared" si="24"/>
        <v>50</v>
      </c>
      <c r="AJ135" s="422">
        <f t="shared" si="32"/>
        <v>0</v>
      </c>
      <c r="AK135" s="422">
        <f t="shared" si="9"/>
        <v>0</v>
      </c>
      <c r="AL135" s="423"/>
      <c r="AM135" s="293"/>
      <c r="AN135" s="346">
        <v>55</v>
      </c>
      <c r="AO135" s="420"/>
      <c r="AP135" s="421">
        <f t="shared" si="25"/>
        <v>50</v>
      </c>
      <c r="AQ135" s="422">
        <f t="shared" si="30"/>
        <v>0</v>
      </c>
      <c r="AR135" s="422">
        <f t="shared" si="10"/>
        <v>0</v>
      </c>
      <c r="AS135" s="423"/>
    </row>
    <row r="137" spans="1:45">
      <c r="A137" s="1424" t="s">
        <v>1012</v>
      </c>
      <c r="B137" s="1030"/>
      <c r="C137" s="1030"/>
      <c r="D137" s="1425">
        <f>E130+F135</f>
        <v>264358824.17982438</v>
      </c>
      <c r="E137" s="1425"/>
      <c r="F137" s="369" t="s">
        <v>115</v>
      </c>
      <c r="G137" s="92" t="s">
        <v>378</v>
      </c>
    </row>
    <row r="138" spans="1:45">
      <c r="A138" s="1032" t="s">
        <v>374</v>
      </c>
      <c r="B138" s="1033"/>
      <c r="C138" s="1033"/>
      <c r="D138" s="1426">
        <f>D137/(C73*1000)</f>
        <v>1321.7941208991219</v>
      </c>
      <c r="E138" s="1426"/>
      <c r="F138" s="364" t="s">
        <v>375</v>
      </c>
      <c r="G138" s="94" t="s">
        <v>378</v>
      </c>
    </row>
    <row r="139" spans="1:45">
      <c r="A139" s="1143" t="s">
        <v>377</v>
      </c>
      <c r="B139" s="1144"/>
      <c r="C139" s="1144"/>
      <c r="D139" s="1428">
        <f>-PMT($B$78,D73,D138,,0)</f>
        <v>96.026904097265074</v>
      </c>
      <c r="E139" s="1428"/>
      <c r="F139" s="365"/>
      <c r="G139" s="98" t="s">
        <v>379</v>
      </c>
    </row>
    <row r="140" spans="1:45" ht="15.75" thickBot="1">
      <c r="A140" s="364"/>
      <c r="B140" s="364"/>
      <c r="C140" s="364"/>
      <c r="D140" s="424"/>
      <c r="E140" s="424"/>
      <c r="F140" s="364"/>
      <c r="G140" s="95"/>
    </row>
    <row r="141" spans="1:45" ht="15.75" thickBot="1">
      <c r="A141" s="1364" t="str">
        <f>A74</f>
        <v>Carvão</v>
      </c>
      <c r="B141" s="1365"/>
      <c r="C141" s="1365"/>
      <c r="D141" s="1365"/>
      <c r="E141" s="1365"/>
      <c r="F141" s="1365"/>
      <c r="G141" s="1365"/>
      <c r="H141" s="1365"/>
      <c r="I141" s="1365"/>
      <c r="J141" s="1366"/>
    </row>
    <row r="142" spans="1:45" ht="15.75" thickBot="1">
      <c r="A142" s="373"/>
      <c r="B142" s="373" t="s">
        <v>373</v>
      </c>
      <c r="C142" s="373"/>
      <c r="D142" s="373"/>
    </row>
    <row r="143" spans="1:45">
      <c r="A143" s="367" t="s">
        <v>230</v>
      </c>
      <c r="B143" s="211">
        <v>60000000</v>
      </c>
      <c r="C143" s="367" t="s">
        <v>115</v>
      </c>
      <c r="H143" s="1486" t="s">
        <v>1023</v>
      </c>
      <c r="I143" s="1487"/>
      <c r="J143" s="1136"/>
    </row>
    <row r="144" spans="1:45">
      <c r="A144" s="367" t="s">
        <v>231</v>
      </c>
      <c r="B144" s="211">
        <v>60000000</v>
      </c>
      <c r="C144" s="367" t="s">
        <v>115</v>
      </c>
      <c r="H144" s="1488"/>
      <c r="I144" s="1287"/>
      <c r="J144" s="1138"/>
    </row>
    <row r="145" spans="1:10">
      <c r="A145" s="367" t="s">
        <v>232</v>
      </c>
      <c r="B145" s="211">
        <v>60000000</v>
      </c>
      <c r="C145" s="367" t="s">
        <v>115</v>
      </c>
      <c r="H145" s="1488"/>
      <c r="I145" s="1287"/>
      <c r="J145" s="1138"/>
    </row>
    <row r="146" spans="1:10">
      <c r="A146" s="367" t="s">
        <v>233</v>
      </c>
      <c r="B146" s="211">
        <v>60000000</v>
      </c>
      <c r="C146" s="367" t="s">
        <v>115</v>
      </c>
      <c r="D146" s="211"/>
      <c r="E146" s="367"/>
      <c r="H146" s="1488"/>
      <c r="I146" s="1287"/>
      <c r="J146" s="1138"/>
    </row>
    <row r="147" spans="1:10" ht="15.75" thickBot="1">
      <c r="A147" s="367" t="s">
        <v>234</v>
      </c>
      <c r="B147" s="211">
        <v>60000000</v>
      </c>
      <c r="C147" s="367" t="s">
        <v>115</v>
      </c>
      <c r="D147" s="211"/>
      <c r="E147" s="367"/>
      <c r="H147" s="1489"/>
      <c r="I147" s="1490"/>
      <c r="J147" s="1141"/>
    </row>
    <row r="148" spans="1:10">
      <c r="A148" s="959" t="s">
        <v>1007</v>
      </c>
    </row>
    <row r="149" spans="1:10">
      <c r="A149" s="959" t="s">
        <v>1008</v>
      </c>
      <c r="D149" s="373" t="s">
        <v>714</v>
      </c>
      <c r="E149" s="211">
        <f>-PV($B$102,5,B143,,0)</f>
        <v>252741827.13394311</v>
      </c>
      <c r="F149" s="367" t="s">
        <v>115</v>
      </c>
      <c r="G149" s="49" t="s">
        <v>378</v>
      </c>
    </row>
    <row r="150" spans="1:10" ht="15" customHeight="1">
      <c r="A150" s="959" t="s">
        <v>1009</v>
      </c>
      <c r="D150" s="1114" t="s">
        <v>1024</v>
      </c>
      <c r="E150" s="1114"/>
      <c r="F150" s="1114"/>
      <c r="G150" s="1114"/>
      <c r="H150" s="1114"/>
      <c r="I150" s="1114"/>
      <c r="J150" s="1115"/>
    </row>
    <row r="151" spans="1:10">
      <c r="D151" s="1114"/>
      <c r="E151" s="1114"/>
      <c r="F151" s="1114"/>
      <c r="G151" s="1114"/>
      <c r="H151" s="1114"/>
      <c r="I151" s="1114"/>
      <c r="J151" s="1115"/>
    </row>
    <row r="152" spans="1:10">
      <c r="B152" s="110"/>
      <c r="D152" s="1114"/>
      <c r="E152" s="1114"/>
      <c r="F152" s="1114"/>
      <c r="G152" s="1114"/>
      <c r="H152" s="1114"/>
      <c r="I152" s="1114"/>
      <c r="J152" s="1115"/>
    </row>
    <row r="153" spans="1:10">
      <c r="D153" s="959" t="s">
        <v>1017</v>
      </c>
      <c r="F153" s="1423">
        <f>-PV($B$102,D74,(H74*10^6),,0)</f>
        <v>68824155.757447153</v>
      </c>
      <c r="G153" s="1423"/>
      <c r="H153" s="367" t="s">
        <v>115</v>
      </c>
    </row>
    <row r="154" spans="1:10">
      <c r="D154" s="527" t="s">
        <v>1018</v>
      </c>
      <c r="F154" s="1423">
        <f>-PV($B$102,5,,F153,0)</f>
        <v>51429412.880358867</v>
      </c>
      <c r="G154" s="1423"/>
      <c r="H154" s="367" t="s">
        <v>115</v>
      </c>
    </row>
    <row r="156" spans="1:10">
      <c r="A156" s="1424" t="s">
        <v>1012</v>
      </c>
      <c r="B156" s="1030"/>
      <c r="C156" s="1030"/>
      <c r="D156" s="1425">
        <f>E149+F154</f>
        <v>304171240.01430196</v>
      </c>
      <c r="E156" s="1425"/>
      <c r="F156" s="369" t="s">
        <v>115</v>
      </c>
      <c r="G156" s="92" t="s">
        <v>378</v>
      </c>
    </row>
    <row r="157" spans="1:10">
      <c r="A157" s="1032" t="s">
        <v>374</v>
      </c>
      <c r="B157" s="1033"/>
      <c r="C157" s="1033"/>
      <c r="D157" s="1426">
        <f>D156/(C74*1000)</f>
        <v>1520.8562000715099</v>
      </c>
      <c r="E157" s="1426"/>
      <c r="F157" s="364" t="s">
        <v>375</v>
      </c>
      <c r="G157" s="94" t="s">
        <v>378</v>
      </c>
    </row>
    <row r="158" spans="1:10">
      <c r="A158" s="1143" t="s">
        <v>377</v>
      </c>
      <c r="B158" s="1144"/>
      <c r="C158" s="1144"/>
      <c r="D158" s="1428">
        <f>-PMT($B$78,D74,D157,,0)</f>
        <v>110.48854746808468</v>
      </c>
      <c r="E158" s="1428"/>
      <c r="F158" s="365"/>
      <c r="G158" s="98" t="s">
        <v>379</v>
      </c>
    </row>
    <row r="159" spans="1:10" ht="15.75" thickBot="1"/>
    <row r="160" spans="1:10" ht="15.75" thickBot="1">
      <c r="A160" s="1364" t="str">
        <f>A75</f>
        <v>Turbina combustível</v>
      </c>
      <c r="B160" s="1365"/>
      <c r="C160" s="1365"/>
      <c r="D160" s="1365"/>
      <c r="E160" s="1365"/>
      <c r="F160" s="1365"/>
      <c r="G160" s="1365"/>
      <c r="H160" s="1365"/>
      <c r="I160" s="1365"/>
      <c r="J160" s="1366"/>
    </row>
    <row r="161" spans="1:10" ht="15.75" thickBot="1">
      <c r="A161" s="373"/>
      <c r="B161" s="373" t="s">
        <v>373</v>
      </c>
      <c r="C161" s="373"/>
      <c r="D161" s="373"/>
    </row>
    <row r="162" spans="1:10">
      <c r="A162" s="367" t="s">
        <v>230</v>
      </c>
      <c r="B162" s="211">
        <v>0</v>
      </c>
      <c r="C162" s="367"/>
      <c r="H162" s="1486" t="s">
        <v>1021</v>
      </c>
      <c r="I162" s="1487"/>
      <c r="J162" s="1136"/>
    </row>
    <row r="163" spans="1:10">
      <c r="A163" s="367" t="s">
        <v>231</v>
      </c>
      <c r="B163" s="211">
        <v>0</v>
      </c>
      <c r="C163" s="367"/>
      <c r="H163" s="1488"/>
      <c r="I163" s="1287"/>
      <c r="J163" s="1138"/>
    </row>
    <row r="164" spans="1:10">
      <c r="A164" s="367" t="s">
        <v>232</v>
      </c>
      <c r="B164" s="211">
        <v>0</v>
      </c>
      <c r="C164" s="367"/>
      <c r="H164" s="1488"/>
      <c r="I164" s="1287"/>
      <c r="J164" s="1138"/>
    </row>
    <row r="165" spans="1:10">
      <c r="A165" s="367" t="s">
        <v>233</v>
      </c>
      <c r="B165" s="211">
        <v>0</v>
      </c>
      <c r="C165" s="367" t="s">
        <v>115</v>
      </c>
      <c r="D165" s="211"/>
      <c r="E165" s="367"/>
      <c r="H165" s="1488"/>
      <c r="I165" s="1287"/>
      <c r="J165" s="1138"/>
    </row>
    <row r="166" spans="1:10" ht="15.75" thickBot="1">
      <c r="A166" s="367" t="s">
        <v>234</v>
      </c>
      <c r="B166" s="211">
        <f>25*10^6</f>
        <v>25000000</v>
      </c>
      <c r="C166" s="367" t="s">
        <v>115</v>
      </c>
      <c r="D166" s="211"/>
      <c r="E166" s="367"/>
      <c r="H166" s="1489"/>
      <c r="I166" s="1490"/>
      <c r="J166" s="1141"/>
    </row>
    <row r="167" spans="1:10">
      <c r="A167" s="959" t="s">
        <v>1007</v>
      </c>
    </row>
    <row r="168" spans="1:10">
      <c r="A168" s="959" t="s">
        <v>1008</v>
      </c>
      <c r="D168" s="373" t="s">
        <v>714</v>
      </c>
      <c r="E168" s="211">
        <f>-PV($B$102,5,,B166,0)</f>
        <v>18681454.321651421</v>
      </c>
      <c r="F168" s="367" t="s">
        <v>115</v>
      </c>
      <c r="G168" s="49" t="s">
        <v>378</v>
      </c>
    </row>
    <row r="169" spans="1:10">
      <c r="A169" s="959" t="s">
        <v>1009</v>
      </c>
      <c r="D169" s="1114" t="s">
        <v>1019</v>
      </c>
      <c r="E169" s="1114"/>
      <c r="F169" s="1114"/>
      <c r="G169" s="1114"/>
      <c r="H169" s="1114"/>
      <c r="I169" s="1114"/>
      <c r="J169" s="1115"/>
    </row>
    <row r="170" spans="1:10">
      <c r="D170" s="1114"/>
      <c r="E170" s="1114"/>
      <c r="F170" s="1114"/>
      <c r="G170" s="1114"/>
      <c r="H170" s="1114"/>
      <c r="I170" s="1114"/>
      <c r="J170" s="1115"/>
    </row>
    <row r="171" spans="1:10">
      <c r="B171" s="110"/>
      <c r="D171" s="1114"/>
      <c r="E171" s="1114"/>
      <c r="F171" s="1114"/>
      <c r="G171" s="1114"/>
      <c r="H171" s="1114"/>
      <c r="I171" s="1114"/>
      <c r="J171" s="1115"/>
    </row>
    <row r="172" spans="1:10">
      <c r="D172" s="959" t="s">
        <v>1017</v>
      </c>
      <c r="F172" s="1423">
        <f>-PV($B$102,D75,(H75*10^6),,0)</f>
        <v>14910897.584134841</v>
      </c>
      <c r="G172" s="1423"/>
      <c r="H172" s="367" t="s">
        <v>115</v>
      </c>
    </row>
    <row r="173" spans="1:10">
      <c r="D173" s="527" t="s">
        <v>1018</v>
      </c>
      <c r="F173" s="1423">
        <f>-PV($B$102,5,,F172,0)</f>
        <v>11142290.084513504</v>
      </c>
      <c r="G173" s="1423"/>
      <c r="H173" s="367" t="s">
        <v>115</v>
      </c>
    </row>
    <row r="175" spans="1:10">
      <c r="A175" s="1424" t="s">
        <v>1012</v>
      </c>
      <c r="B175" s="1030"/>
      <c r="C175" s="1030"/>
      <c r="D175" s="1425">
        <f>E168+F173</f>
        <v>29823744.406164926</v>
      </c>
      <c r="E175" s="1425"/>
      <c r="F175" s="369" t="s">
        <v>115</v>
      </c>
      <c r="G175" s="92" t="s">
        <v>378</v>
      </c>
    </row>
    <row r="176" spans="1:10">
      <c r="A176" s="1032" t="s">
        <v>374</v>
      </c>
      <c r="B176" s="1033"/>
      <c r="C176" s="1033"/>
      <c r="D176" s="1426">
        <f>D175/(C75*1000)</f>
        <v>596.47488812329846</v>
      </c>
      <c r="E176" s="1426"/>
      <c r="F176" s="364" t="s">
        <v>375</v>
      </c>
      <c r="G176" s="94" t="s">
        <v>378</v>
      </c>
    </row>
    <row r="177" spans="1:11">
      <c r="A177" s="1143" t="s">
        <v>377</v>
      </c>
      <c r="B177" s="1144"/>
      <c r="C177" s="1144"/>
      <c r="D177" s="1428">
        <f>-PMT($B$78,D75,D176,,0)</f>
        <v>52.003398868846809</v>
      </c>
      <c r="E177" s="1428"/>
      <c r="F177" s="365"/>
      <c r="G177" s="98" t="s">
        <v>379</v>
      </c>
    </row>
    <row r="178" spans="1:11">
      <c r="A178" s="87"/>
      <c r="B178" s="87"/>
      <c r="C178" s="87"/>
      <c r="D178" s="87"/>
      <c r="E178" s="87"/>
      <c r="F178" s="87"/>
      <c r="G178" s="87"/>
      <c r="H178" s="87"/>
      <c r="I178" s="87"/>
      <c r="J178" s="87"/>
    </row>
    <row r="179" spans="1:11">
      <c r="A179" s="1099" t="s">
        <v>715</v>
      </c>
      <c r="B179" s="1100"/>
      <c r="C179" s="1100"/>
      <c r="D179" s="1100"/>
      <c r="E179" s="1100"/>
      <c r="F179" s="1100"/>
      <c r="G179" s="1100"/>
      <c r="H179" s="1100"/>
      <c r="I179" s="1100"/>
      <c r="J179" s="1100"/>
    </row>
    <row r="180" spans="1:11" ht="44.25" customHeight="1">
      <c r="A180" s="1183"/>
      <c r="B180" s="1183"/>
      <c r="C180" s="1183"/>
      <c r="D180" s="1183"/>
      <c r="E180" s="1183"/>
      <c r="F180" s="1183"/>
      <c r="G180" s="1183"/>
      <c r="H180" s="1183"/>
      <c r="I180" s="1183"/>
      <c r="J180" s="1183"/>
    </row>
    <row r="182" spans="1:11">
      <c r="A182" s="1280" t="s">
        <v>381</v>
      </c>
      <c r="B182" s="1280"/>
      <c r="C182" s="1280"/>
      <c r="D182" s="1280"/>
      <c r="F182" s="1280" t="s">
        <v>397</v>
      </c>
      <c r="G182" s="1280"/>
      <c r="H182" s="1280"/>
      <c r="I182" s="1280"/>
    </row>
    <row r="183" spans="1:11">
      <c r="A183" s="49" t="s">
        <v>347</v>
      </c>
      <c r="B183" s="367">
        <v>20</v>
      </c>
      <c r="C183" s="367" t="s">
        <v>382</v>
      </c>
      <c r="F183" s="49" t="s">
        <v>347</v>
      </c>
      <c r="G183" s="367">
        <v>50</v>
      </c>
      <c r="H183" s="367" t="s">
        <v>382</v>
      </c>
    </row>
    <row r="184" spans="1:11" ht="18">
      <c r="A184" s="49" t="s">
        <v>716</v>
      </c>
      <c r="B184" s="367">
        <v>0.8</v>
      </c>
      <c r="C184" s="367"/>
      <c r="F184" s="49" t="s">
        <v>716</v>
      </c>
      <c r="G184" s="367">
        <v>0.3</v>
      </c>
      <c r="H184" s="367"/>
    </row>
    <row r="185" spans="1:11">
      <c r="A185" s="49" t="s">
        <v>383</v>
      </c>
      <c r="B185" s="367">
        <v>8760</v>
      </c>
      <c r="C185" s="367" t="s">
        <v>67</v>
      </c>
      <c r="F185" s="49" t="s">
        <v>383</v>
      </c>
      <c r="G185" s="367">
        <v>8760</v>
      </c>
      <c r="H185" s="367" t="s">
        <v>67</v>
      </c>
    </row>
    <row r="186" spans="1:11">
      <c r="A186" s="1431" t="s">
        <v>1025</v>
      </c>
      <c r="B186" s="1432"/>
      <c r="C186" s="425">
        <f>B183*B184*B185</f>
        <v>140160</v>
      </c>
      <c r="D186" s="426" t="s">
        <v>384</v>
      </c>
      <c r="F186" s="1431" t="s">
        <v>1025</v>
      </c>
      <c r="G186" s="1432"/>
      <c r="H186" s="425">
        <f>G183*G184*G185</f>
        <v>131400</v>
      </c>
      <c r="I186" s="426" t="s">
        <v>384</v>
      </c>
    </row>
    <row r="187" spans="1:11">
      <c r="A187" s="87"/>
      <c r="B187" s="87"/>
      <c r="C187" s="87"/>
      <c r="D187" s="87"/>
      <c r="E187" s="87"/>
      <c r="F187" s="87"/>
      <c r="G187" s="87"/>
      <c r="H187" s="87"/>
      <c r="I187" s="87"/>
      <c r="J187" s="87"/>
    </row>
    <row r="188" spans="1:11">
      <c r="A188" s="1121" t="s">
        <v>1027</v>
      </c>
      <c r="B188" s="1122"/>
      <c r="C188" s="1122"/>
      <c r="D188" s="1122"/>
      <c r="E188" s="1122"/>
      <c r="F188" s="1122"/>
      <c r="G188" s="1122"/>
      <c r="H188" s="1122"/>
      <c r="I188" s="1122"/>
      <c r="J188" s="1122"/>
    </row>
    <row r="189" spans="1:11">
      <c r="A189" s="1123"/>
      <c r="B189" s="1123"/>
      <c r="C189" s="1123"/>
      <c r="D189" s="1123"/>
      <c r="E189" s="1123"/>
      <c r="F189" s="1123"/>
      <c r="G189" s="1123"/>
      <c r="H189" s="1123"/>
      <c r="I189" s="1123"/>
      <c r="J189" s="1123"/>
    </row>
    <row r="190" spans="1:11" ht="29.25" customHeight="1">
      <c r="A190" s="1123"/>
      <c r="B190" s="1123"/>
      <c r="C190" s="1123"/>
      <c r="D190" s="1123"/>
      <c r="E190" s="1123"/>
      <c r="F190" s="1123"/>
      <c r="G190" s="1123"/>
      <c r="H190" s="1123"/>
      <c r="I190" s="1123"/>
      <c r="J190" s="1123"/>
    </row>
    <row r="191" spans="1:11">
      <c r="A191" s="887"/>
      <c r="B191" s="887"/>
      <c r="C191" s="887"/>
      <c r="D191" s="887"/>
      <c r="E191" s="887"/>
      <c r="F191" s="887"/>
      <c r="G191" s="887"/>
      <c r="H191" s="887"/>
      <c r="I191" s="887"/>
      <c r="J191" s="887"/>
    </row>
    <row r="192" spans="1:11" ht="15.75" thickBot="1">
      <c r="A192" s="1381" t="s">
        <v>997</v>
      </c>
      <c r="B192" s="1381"/>
      <c r="C192" s="1381"/>
      <c r="D192" s="1381"/>
      <c r="E192" s="1381"/>
      <c r="F192" s="1381"/>
      <c r="G192" s="1381"/>
      <c r="H192" s="1381"/>
      <c r="I192" s="1381"/>
      <c r="J192" s="529"/>
      <c r="K192" s="527"/>
    </row>
    <row r="193" spans="1:11">
      <c r="A193" s="1313" t="s">
        <v>339</v>
      </c>
      <c r="B193" s="1334"/>
      <c r="C193" s="1314"/>
      <c r="D193" s="1313" t="s">
        <v>385</v>
      </c>
      <c r="E193" s="907" t="s">
        <v>347</v>
      </c>
      <c r="F193" s="907" t="s">
        <v>386</v>
      </c>
      <c r="G193" s="907" t="s">
        <v>388</v>
      </c>
      <c r="H193" s="1334" t="s">
        <v>389</v>
      </c>
      <c r="I193" s="1314"/>
      <c r="J193" s="117"/>
      <c r="K193" s="56"/>
    </row>
    <row r="194" spans="1:11" ht="15.75" thickBot="1">
      <c r="A194" s="1337"/>
      <c r="B194" s="1339"/>
      <c r="C194" s="1338"/>
      <c r="D194" s="1337"/>
      <c r="E194" s="908" t="s">
        <v>348</v>
      </c>
      <c r="F194" s="908" t="s">
        <v>387</v>
      </c>
      <c r="G194" s="908" t="s">
        <v>345</v>
      </c>
      <c r="H194" s="1339" t="s">
        <v>390</v>
      </c>
      <c r="I194" s="1338"/>
      <c r="J194" s="117"/>
      <c r="K194" s="56"/>
    </row>
    <row r="195" spans="1:11">
      <c r="A195" s="1326" t="s">
        <v>391</v>
      </c>
      <c r="B195" s="1433"/>
      <c r="C195" s="1327"/>
      <c r="D195" s="907"/>
      <c r="E195" s="907"/>
      <c r="F195" s="907"/>
      <c r="G195" s="907"/>
      <c r="H195" s="1334"/>
      <c r="I195" s="1314"/>
      <c r="J195" s="117"/>
      <c r="K195" s="56"/>
    </row>
    <row r="196" spans="1:11">
      <c r="A196" s="1308" t="s">
        <v>349</v>
      </c>
      <c r="B196" s="1279"/>
      <c r="C196" s="1309"/>
      <c r="D196" s="873">
        <v>3</v>
      </c>
      <c r="E196" s="873">
        <v>1200</v>
      </c>
      <c r="F196" s="891">
        <v>0.5</v>
      </c>
      <c r="G196" s="892">
        <v>0.02</v>
      </c>
      <c r="H196" s="1279">
        <v>0</v>
      </c>
      <c r="I196" s="1309"/>
      <c r="J196" s="529"/>
    </row>
    <row r="197" spans="1:11">
      <c r="A197" s="1308" t="s">
        <v>392</v>
      </c>
      <c r="B197" s="1279"/>
      <c r="C197" s="1309"/>
      <c r="D197" s="873">
        <v>3</v>
      </c>
      <c r="E197" s="873">
        <v>600</v>
      </c>
      <c r="F197" s="891">
        <v>0.5</v>
      </c>
      <c r="G197" s="892">
        <v>0.04</v>
      </c>
      <c r="H197" s="1279">
        <v>0</v>
      </c>
      <c r="I197" s="1309"/>
      <c r="J197" s="529"/>
    </row>
    <row r="198" spans="1:11">
      <c r="A198" s="1308" t="s">
        <v>393</v>
      </c>
      <c r="B198" s="1279"/>
      <c r="C198" s="1309"/>
      <c r="D198" s="873">
        <v>3</v>
      </c>
      <c r="E198" s="873">
        <v>420</v>
      </c>
      <c r="F198" s="891">
        <v>0.75</v>
      </c>
      <c r="G198" s="892">
        <v>0.03</v>
      </c>
      <c r="H198" s="1279">
        <v>0</v>
      </c>
      <c r="I198" s="1309"/>
      <c r="J198" s="529"/>
    </row>
    <row r="199" spans="1:11">
      <c r="A199" s="1308" t="s">
        <v>394</v>
      </c>
      <c r="B199" s="1279"/>
      <c r="C199" s="1309"/>
      <c r="D199" s="873">
        <v>3</v>
      </c>
      <c r="E199" s="873">
        <v>400</v>
      </c>
      <c r="F199" s="891">
        <v>0.75</v>
      </c>
      <c r="G199" s="892">
        <v>0.04</v>
      </c>
      <c r="H199" s="1279">
        <v>50</v>
      </c>
      <c r="I199" s="1309"/>
      <c r="J199" s="529"/>
    </row>
    <row r="200" spans="1:11">
      <c r="A200" s="1335" t="s">
        <v>285</v>
      </c>
      <c r="B200" s="1434"/>
      <c r="C200" s="1336"/>
      <c r="D200" s="873"/>
      <c r="E200" s="873"/>
      <c r="F200" s="891"/>
      <c r="G200" s="892"/>
      <c r="H200" s="1279"/>
      <c r="I200" s="1309"/>
      <c r="J200" s="529"/>
    </row>
    <row r="201" spans="1:11">
      <c r="A201" s="1308" t="s">
        <v>392</v>
      </c>
      <c r="B201" s="1279"/>
      <c r="C201" s="1309"/>
      <c r="D201" s="873">
        <v>3</v>
      </c>
      <c r="E201" s="873">
        <v>200</v>
      </c>
      <c r="F201" s="891">
        <v>0.75</v>
      </c>
      <c r="G201" s="892">
        <v>3.5000000000000003E-2</v>
      </c>
      <c r="H201" s="1279">
        <v>130</v>
      </c>
      <c r="I201" s="1309"/>
      <c r="J201" s="529"/>
    </row>
    <row r="202" spans="1:11">
      <c r="A202" s="1308" t="s">
        <v>393</v>
      </c>
      <c r="B202" s="1279"/>
      <c r="C202" s="1309"/>
      <c r="D202" s="873">
        <v>3</v>
      </c>
      <c r="E202" s="873">
        <v>200</v>
      </c>
      <c r="F202" s="891">
        <v>0.75</v>
      </c>
      <c r="G202" s="892">
        <v>0.03</v>
      </c>
      <c r="H202" s="1279">
        <v>150</v>
      </c>
      <c r="I202" s="1309"/>
      <c r="J202" s="529"/>
    </row>
    <row r="203" spans="1:11">
      <c r="A203" s="1308" t="s">
        <v>395</v>
      </c>
      <c r="B203" s="1279"/>
      <c r="C203" s="1309"/>
      <c r="D203" s="873">
        <v>3</v>
      </c>
      <c r="E203" s="873">
        <v>200</v>
      </c>
      <c r="F203" s="891">
        <v>0.75</v>
      </c>
      <c r="G203" s="892">
        <v>0.04</v>
      </c>
      <c r="H203" s="1279">
        <v>180</v>
      </c>
      <c r="I203" s="1309"/>
      <c r="J203" s="529"/>
    </row>
    <row r="204" spans="1:11">
      <c r="A204" s="1308" t="s">
        <v>396</v>
      </c>
      <c r="B204" s="1279"/>
      <c r="C204" s="1309"/>
      <c r="D204" s="873">
        <v>3</v>
      </c>
      <c r="E204" s="873">
        <v>500</v>
      </c>
      <c r="F204" s="891">
        <v>0.3</v>
      </c>
      <c r="G204" s="892">
        <v>0.01</v>
      </c>
      <c r="H204" s="1279">
        <v>150</v>
      </c>
      <c r="I204" s="1309"/>
      <c r="J204" s="529"/>
    </row>
    <row r="205" spans="1:11" ht="15.75" thickBot="1">
      <c r="A205" s="1310" t="s">
        <v>397</v>
      </c>
      <c r="B205" s="1058"/>
      <c r="C205" s="1056"/>
      <c r="D205" s="866">
        <v>3</v>
      </c>
      <c r="E205" s="866">
        <v>50</v>
      </c>
      <c r="F205" s="893">
        <v>0.15</v>
      </c>
      <c r="G205" s="894">
        <v>0.05</v>
      </c>
      <c r="H205" s="1058">
        <v>60</v>
      </c>
      <c r="I205" s="1056"/>
      <c r="J205" s="529"/>
    </row>
    <row r="206" spans="1:11">
      <c r="A206" s="529"/>
      <c r="B206" s="529"/>
      <c r="C206" s="529"/>
      <c r="D206" s="529"/>
      <c r="E206" s="529"/>
      <c r="F206" s="529"/>
      <c r="G206" s="529"/>
      <c r="H206" s="529"/>
      <c r="I206" s="529"/>
      <c r="J206" s="529"/>
    </row>
    <row r="207" spans="1:11">
      <c r="A207" s="529"/>
      <c r="B207" s="529"/>
      <c r="C207" s="529"/>
      <c r="D207" s="529"/>
      <c r="E207" s="529"/>
      <c r="F207" s="529"/>
      <c r="G207" s="529"/>
      <c r="H207" s="529"/>
      <c r="I207" s="529"/>
      <c r="J207" s="529"/>
    </row>
    <row r="208" spans="1:11">
      <c r="A208" s="529"/>
      <c r="B208" s="529"/>
      <c r="C208" s="529"/>
      <c r="D208" s="529"/>
      <c r="E208" s="529"/>
      <c r="F208" s="529"/>
      <c r="G208" s="529"/>
      <c r="H208" s="529"/>
      <c r="I208" s="529"/>
      <c r="J208" s="529"/>
    </row>
    <row r="209" spans="1:10">
      <c r="A209" s="529"/>
      <c r="B209" s="529"/>
      <c r="C209" s="529"/>
      <c r="D209" s="529"/>
      <c r="E209" s="529"/>
      <c r="F209" s="529"/>
      <c r="G209" s="529"/>
      <c r="H209" s="529"/>
      <c r="I209" s="529"/>
      <c r="J209" s="529"/>
    </row>
    <row r="210" spans="1:10">
      <c r="A210" s="529"/>
      <c r="B210" s="529"/>
      <c r="C210" s="529"/>
      <c r="D210" s="529"/>
      <c r="E210" s="529"/>
      <c r="F210" s="529"/>
      <c r="G210" s="529"/>
      <c r="H210" s="529"/>
      <c r="I210" s="529"/>
      <c r="J210" s="529"/>
    </row>
    <row r="211" spans="1:10">
      <c r="A211" s="529"/>
      <c r="B211" s="529"/>
      <c r="C211" s="529"/>
      <c r="D211" s="529"/>
      <c r="E211" s="529"/>
      <c r="F211" s="529"/>
      <c r="G211" s="529"/>
      <c r="H211" s="529"/>
      <c r="I211" s="529"/>
      <c r="J211" s="529"/>
    </row>
    <row r="212" spans="1:10">
      <c r="A212" s="529"/>
      <c r="B212" s="529"/>
      <c r="C212" s="529"/>
      <c r="D212" s="529"/>
      <c r="E212" s="529"/>
      <c r="F212" s="529"/>
      <c r="G212" s="529"/>
      <c r="H212" s="529"/>
      <c r="I212" s="529"/>
      <c r="J212" s="529"/>
    </row>
    <row r="213" spans="1:10">
      <c r="A213" s="527" t="s">
        <v>1028</v>
      </c>
      <c r="G213" s="367"/>
      <c r="H213" s="386"/>
    </row>
    <row r="214" spans="1:10">
      <c r="A214" s="367" t="s">
        <v>113</v>
      </c>
      <c r="B214" s="224">
        <v>0.06</v>
      </c>
      <c r="C214" s="367" t="s">
        <v>338</v>
      </c>
    </row>
    <row r="215" spans="1:10" ht="15.75" thickBot="1"/>
    <row r="216" spans="1:10" ht="18">
      <c r="D216" s="427" t="s">
        <v>110</v>
      </c>
      <c r="E216" s="427" t="s">
        <v>398</v>
      </c>
      <c r="F216" s="1384" t="s">
        <v>256</v>
      </c>
      <c r="G216" s="428" t="s">
        <v>717</v>
      </c>
      <c r="H216" s="427" t="s">
        <v>718</v>
      </c>
      <c r="I216" s="429" t="s">
        <v>389</v>
      </c>
    </row>
    <row r="217" spans="1:10" ht="15.75" thickBot="1">
      <c r="D217" s="430" t="s">
        <v>111</v>
      </c>
      <c r="E217" s="430" t="s">
        <v>295</v>
      </c>
      <c r="F217" s="1385"/>
      <c r="G217" s="431" t="s">
        <v>116</v>
      </c>
      <c r="H217" s="431" t="s">
        <v>375</v>
      </c>
      <c r="I217" s="432" t="s">
        <v>390</v>
      </c>
    </row>
    <row r="218" spans="1:10">
      <c r="A218" s="1382" t="s">
        <v>391</v>
      </c>
      <c r="B218" s="1383"/>
      <c r="C218" s="1383"/>
      <c r="D218" s="433"/>
      <c r="E218" s="434"/>
      <c r="F218" s="434"/>
      <c r="G218" s="434"/>
      <c r="H218" s="434"/>
      <c r="I218" s="435"/>
    </row>
    <row r="219" spans="1:10">
      <c r="A219" s="1377" t="s">
        <v>349</v>
      </c>
      <c r="B219" s="1378"/>
      <c r="C219" s="1378"/>
      <c r="D219" s="276">
        <v>50</v>
      </c>
      <c r="E219" s="436">
        <f>E196*8760*F196/1000</f>
        <v>5256</v>
      </c>
      <c r="F219" s="437">
        <f>($B$214*(1+$B$214)^D219)/(((1+$B$214)^D219)-1)</f>
        <v>6.3444286373866191E-2</v>
      </c>
      <c r="G219" s="437">
        <f>((I219*F219)/(8760*F196))+G196</f>
        <v>0.02</v>
      </c>
      <c r="H219" s="437">
        <f>I219+((8760*F196*G196)/F219)</f>
        <v>1380.7389917476316</v>
      </c>
      <c r="I219" s="438">
        <v>0</v>
      </c>
    </row>
    <row r="220" spans="1:10">
      <c r="A220" s="1377" t="s">
        <v>392</v>
      </c>
      <c r="B220" s="1378"/>
      <c r="C220" s="1378"/>
      <c r="D220" s="276">
        <v>30</v>
      </c>
      <c r="E220" s="436">
        <f t="shared" ref="E220:E228" si="33">E197*8760*F197/1000</f>
        <v>2628</v>
      </c>
      <c r="F220" s="437">
        <f>($B$214*(1+$B$214)^D220)/(((1+$B$214)^D220)-1)</f>
        <v>7.2648911490047194E-2</v>
      </c>
      <c r="G220" s="437">
        <f t="shared" ref="G220:G228" si="34">((I220*F220)/(8760*F197))+G197</f>
        <v>0.04</v>
      </c>
      <c r="H220" s="437">
        <f>I220+((8760*F197*G197)/F220)</f>
        <v>2411.5984177409482</v>
      </c>
      <c r="I220" s="438">
        <v>0</v>
      </c>
    </row>
    <row r="221" spans="1:10">
      <c r="A221" s="1377" t="s">
        <v>393</v>
      </c>
      <c r="B221" s="1378"/>
      <c r="C221" s="1378"/>
      <c r="D221" s="276">
        <v>30</v>
      </c>
      <c r="E221" s="436">
        <f t="shared" si="33"/>
        <v>2759.4</v>
      </c>
      <c r="F221" s="437">
        <f>($B$214*(1+$B$214)^D221)/(((1+$B$214)^D221)-1)</f>
        <v>7.2648911490047194E-2</v>
      </c>
      <c r="G221" s="437">
        <f t="shared" si="34"/>
        <v>0.03</v>
      </c>
      <c r="H221" s="437">
        <f>I221+((8760*F198*G198)/F221)</f>
        <v>2713.0482199585667</v>
      </c>
      <c r="I221" s="438">
        <v>0</v>
      </c>
    </row>
    <row r="222" spans="1:10" ht="15.75" thickBot="1">
      <c r="A222" s="1379" t="s">
        <v>394</v>
      </c>
      <c r="B222" s="1380"/>
      <c r="C222" s="1380"/>
      <c r="D222" s="272">
        <v>20</v>
      </c>
      <c r="E222" s="439">
        <f t="shared" si="33"/>
        <v>2628</v>
      </c>
      <c r="F222" s="440">
        <f>($B$214*(1+$B$214)^D222)/(((1+$B$214)^D222)-1)</f>
        <v>8.7184556976851402E-2</v>
      </c>
      <c r="G222" s="440">
        <f t="shared" si="34"/>
        <v>4.0663504999823831E-2</v>
      </c>
      <c r="H222" s="440">
        <f>I222+((8760*F199*G199)/F222)</f>
        <v>3064.2952962389513</v>
      </c>
      <c r="I222" s="441">
        <v>50</v>
      </c>
      <c r="J222" s="386"/>
    </row>
    <row r="223" spans="1:10">
      <c r="A223" s="1382" t="s">
        <v>285</v>
      </c>
      <c r="B223" s="1383"/>
      <c r="C223" s="1383"/>
      <c r="D223" s="433"/>
      <c r="E223" s="442"/>
      <c r="F223" s="443"/>
      <c r="G223" s="434"/>
      <c r="H223" s="434"/>
      <c r="I223" s="435"/>
    </row>
    <row r="224" spans="1:10">
      <c r="A224" s="1377" t="s">
        <v>392</v>
      </c>
      <c r="B224" s="1378"/>
      <c r="C224" s="1378"/>
      <c r="D224" s="276">
        <v>30</v>
      </c>
      <c r="E224" s="436">
        <f t="shared" si="33"/>
        <v>1314</v>
      </c>
      <c r="F224" s="437">
        <f>($B$214*(1+$B$214)^D224)/(((1+$B$214)^D224)-1)</f>
        <v>7.2648911490047194E-2</v>
      </c>
      <c r="G224" s="437">
        <f t="shared" si="34"/>
        <v>3.6437497487626508E-2</v>
      </c>
      <c r="H224" s="437">
        <f>I224+((8760*F201*G201)/F224)</f>
        <v>3295.2229232849945</v>
      </c>
      <c r="I224" s="438">
        <v>130</v>
      </c>
    </row>
    <row r="225" spans="1:12">
      <c r="A225" s="1377" t="s">
        <v>393</v>
      </c>
      <c r="B225" s="1378"/>
      <c r="C225" s="1378"/>
      <c r="D225" s="276">
        <v>30</v>
      </c>
      <c r="E225" s="436">
        <f t="shared" si="33"/>
        <v>1314</v>
      </c>
      <c r="F225" s="437">
        <f>($B$214*(1+$B$214)^D225)/(((1+$B$214)^D225)-1)</f>
        <v>7.2648911490047194E-2</v>
      </c>
      <c r="G225" s="437">
        <f t="shared" si="34"/>
        <v>3.1658650947261349E-2</v>
      </c>
      <c r="H225" s="437">
        <f>I225+((8760*F202*G202)/F225)</f>
        <v>2863.0482199585667</v>
      </c>
      <c r="I225" s="438">
        <v>150</v>
      </c>
    </row>
    <row r="226" spans="1:12">
      <c r="A226" s="1377" t="s">
        <v>395</v>
      </c>
      <c r="B226" s="1378"/>
      <c r="C226" s="1378"/>
      <c r="D226" s="276">
        <v>30</v>
      </c>
      <c r="E226" s="436">
        <f t="shared" si="33"/>
        <v>1314</v>
      </c>
      <c r="F226" s="437">
        <f>($B$214*(1+$B$214)^D226)/(((1+$B$214)^D226)-1)</f>
        <v>7.2648911490047194E-2</v>
      </c>
      <c r="G226" s="437">
        <f t="shared" si="34"/>
        <v>4.199038113671362E-2</v>
      </c>
      <c r="H226" s="437">
        <f>I226+((8760*F203*G203)/F226)</f>
        <v>3797.3976266114223</v>
      </c>
      <c r="I226" s="438">
        <v>180</v>
      </c>
    </row>
    <row r="227" spans="1:12">
      <c r="A227" s="1377" t="s">
        <v>396</v>
      </c>
      <c r="B227" s="1378"/>
      <c r="C227" s="1378"/>
      <c r="D227" s="276">
        <v>20</v>
      </c>
      <c r="E227" s="436">
        <f t="shared" si="33"/>
        <v>1314</v>
      </c>
      <c r="F227" s="437">
        <f>($B$214*(1+$B$214)^D227)/(((1+$B$214)^D227)-1)</f>
        <v>8.7184556976851402E-2</v>
      </c>
      <c r="G227" s="437">
        <f t="shared" si="34"/>
        <v>1.4976287498678733E-2</v>
      </c>
      <c r="H227" s="437">
        <f>I227+((8760*F204*G204)/F227)</f>
        <v>451.42952962389512</v>
      </c>
      <c r="I227" s="438">
        <v>150</v>
      </c>
    </row>
    <row r="228" spans="1:12" ht="15.75" thickBot="1">
      <c r="A228" s="1379" t="s">
        <v>397</v>
      </c>
      <c r="B228" s="1380"/>
      <c r="C228" s="1380"/>
      <c r="D228" s="272">
        <v>20</v>
      </c>
      <c r="E228" s="439">
        <f t="shared" si="33"/>
        <v>65.7</v>
      </c>
      <c r="F228" s="440">
        <f>($B$214*(1+$B$214)^D228)/(((1+$B$214)^D228)-1)</f>
        <v>8.7184556976851402E-2</v>
      </c>
      <c r="G228" s="440">
        <f t="shared" si="34"/>
        <v>5.3981029998942991E-2</v>
      </c>
      <c r="H228" s="440">
        <f>I228+((8760*F205*G205)/F228)</f>
        <v>813.57382405973783</v>
      </c>
      <c r="I228" s="441">
        <v>60</v>
      </c>
    </row>
    <row r="229" spans="1:12" ht="15.75" thickBot="1"/>
    <row r="230" spans="1:12" ht="15.75" thickBot="1">
      <c r="A230" s="49" t="s">
        <v>399</v>
      </c>
      <c r="D230" s="444" t="s">
        <v>400</v>
      </c>
      <c r="E230" s="445">
        <f>(D201*E201*H201+D202*E202*H202+D203*E203*H203+D204*E204*H204+D205*E205*H205)/(E201*D201+E202*D202+E203*D203+E204*D204+E205*D205)</f>
        <v>147.82608695652175</v>
      </c>
      <c r="F230" s="270" t="s">
        <v>375</v>
      </c>
      <c r="H230" s="386"/>
    </row>
    <row r="231" spans="1:12" ht="15.75" thickBot="1">
      <c r="H231" s="386"/>
    </row>
    <row r="232" spans="1:12" ht="18.75" thickBot="1">
      <c r="A232" s="49" t="s">
        <v>1026</v>
      </c>
      <c r="E232" s="82" t="s">
        <v>719</v>
      </c>
      <c r="F232" s="446">
        <f>SUM(G219:G228)-SUM(G219:G222)</f>
        <v>0.17904384706922322</v>
      </c>
      <c r="G232" s="447" t="s">
        <v>435</v>
      </c>
      <c r="H232" s="386"/>
    </row>
    <row r="234" spans="1:12">
      <c r="A234" s="87"/>
      <c r="B234" s="87"/>
      <c r="C234" s="87"/>
      <c r="D234" s="87"/>
      <c r="E234" s="87"/>
      <c r="F234" s="87"/>
      <c r="G234" s="87"/>
      <c r="H234" s="87"/>
      <c r="I234" s="87"/>
      <c r="J234" s="87"/>
    </row>
    <row r="235" spans="1:12">
      <c r="A235" s="1121" t="s">
        <v>1030</v>
      </c>
      <c r="B235" s="1122"/>
      <c r="C235" s="1122"/>
      <c r="D235" s="1122"/>
      <c r="E235" s="1122"/>
      <c r="F235" s="1122"/>
      <c r="G235" s="1122"/>
      <c r="H235" s="1122"/>
      <c r="I235" s="1122"/>
      <c r="J235" s="1122"/>
      <c r="K235" s="331" t="s">
        <v>401</v>
      </c>
      <c r="L235" s="331" t="s">
        <v>500</v>
      </c>
    </row>
    <row r="236" spans="1:12">
      <c r="A236" s="1159"/>
      <c r="B236" s="1159"/>
      <c r="C236" s="1159"/>
      <c r="D236" s="1159"/>
      <c r="E236" s="1159"/>
      <c r="F236" s="1159"/>
      <c r="G236" s="1159"/>
      <c r="H236" s="1159"/>
      <c r="I236" s="1159"/>
      <c r="J236" s="1159"/>
      <c r="K236" s="331">
        <v>1</v>
      </c>
      <c r="L236" s="331">
        <v>1</v>
      </c>
    </row>
    <row r="237" spans="1:12">
      <c r="A237" s="64"/>
      <c r="B237" s="64"/>
      <c r="C237" s="64"/>
      <c r="D237" s="64"/>
      <c r="E237" s="64"/>
      <c r="F237" s="64"/>
      <c r="G237" s="64"/>
      <c r="H237" s="64"/>
      <c r="I237" s="64"/>
      <c r="J237" s="64"/>
      <c r="K237" s="331">
        <v>2</v>
      </c>
      <c r="L237" s="331">
        <v>1</v>
      </c>
    </row>
    <row r="238" spans="1:12">
      <c r="A238" s="64"/>
      <c r="B238" s="1069" t="s">
        <v>983</v>
      </c>
      <c r="C238" s="1070"/>
      <c r="D238" s="1070"/>
      <c r="E238" s="1070"/>
      <c r="F238" s="1070"/>
      <c r="G238" s="1070"/>
      <c r="H238" s="1070"/>
      <c r="I238" s="1070"/>
      <c r="J238" s="64"/>
      <c r="K238" s="331">
        <v>3</v>
      </c>
      <c r="L238" s="331">
        <v>1</v>
      </c>
    </row>
    <row r="239" spans="1:12" ht="15.75" thickBot="1">
      <c r="A239" s="64"/>
      <c r="B239" s="64"/>
      <c r="C239" s="529"/>
      <c r="D239" s="529"/>
      <c r="E239" s="529"/>
      <c r="F239" s="529"/>
      <c r="G239" s="529"/>
      <c r="H239" s="529"/>
      <c r="I239" s="529"/>
      <c r="J239" s="64"/>
      <c r="K239" s="331">
        <v>4</v>
      </c>
      <c r="L239" s="331">
        <v>1</v>
      </c>
    </row>
    <row r="240" spans="1:12" ht="15.75" thickBot="1">
      <c r="A240" s="64"/>
      <c r="B240" s="64"/>
      <c r="C240" s="529"/>
      <c r="D240" s="1435" t="s">
        <v>401</v>
      </c>
      <c r="E240" s="1436"/>
      <c r="F240" s="895" t="s">
        <v>402</v>
      </c>
      <c r="G240" s="529"/>
      <c r="H240" s="639" t="s">
        <v>1029</v>
      </c>
      <c r="I240" s="529"/>
      <c r="J240" s="64"/>
      <c r="K240" s="331">
        <v>5</v>
      </c>
      <c r="L240" s="331">
        <v>1</v>
      </c>
    </row>
    <row r="241" spans="1:12">
      <c r="A241" s="64"/>
      <c r="B241" s="64"/>
      <c r="C241" s="529"/>
      <c r="D241" s="867">
        <v>0</v>
      </c>
      <c r="E241" s="868">
        <v>6</v>
      </c>
      <c r="F241" s="868">
        <v>1</v>
      </c>
      <c r="G241" s="529"/>
      <c r="H241" s="871">
        <f t="shared" ref="H241:H246" si="35">E241-D241</f>
        <v>6</v>
      </c>
      <c r="I241" s="529"/>
      <c r="J241" s="64"/>
      <c r="K241" s="331">
        <v>6</v>
      </c>
      <c r="L241" s="331">
        <v>1</v>
      </c>
    </row>
    <row r="242" spans="1:12">
      <c r="A242" s="64"/>
      <c r="B242" s="64"/>
      <c r="C242" s="529"/>
      <c r="D242" s="867">
        <v>6</v>
      </c>
      <c r="E242" s="868">
        <v>12</v>
      </c>
      <c r="F242" s="868">
        <v>3</v>
      </c>
      <c r="G242" s="529"/>
      <c r="H242" s="871">
        <f t="shared" si="35"/>
        <v>6</v>
      </c>
      <c r="I242" s="529"/>
      <c r="J242" s="64"/>
      <c r="K242" s="331">
        <v>7</v>
      </c>
      <c r="L242" s="331">
        <v>3</v>
      </c>
    </row>
    <row r="243" spans="1:12">
      <c r="A243" s="64"/>
      <c r="B243" s="64"/>
      <c r="C243" s="529"/>
      <c r="D243" s="867">
        <v>12</v>
      </c>
      <c r="E243" s="868">
        <v>15</v>
      </c>
      <c r="F243" s="868">
        <v>4</v>
      </c>
      <c r="G243" s="529"/>
      <c r="H243" s="871">
        <f t="shared" si="35"/>
        <v>3</v>
      </c>
      <c r="I243" s="529"/>
      <c r="J243" s="64"/>
      <c r="K243" s="331">
        <v>8</v>
      </c>
      <c r="L243" s="331">
        <v>3</v>
      </c>
    </row>
    <row r="244" spans="1:12">
      <c r="A244" s="64"/>
      <c r="B244" s="64"/>
      <c r="C244" s="529"/>
      <c r="D244" s="896">
        <v>15</v>
      </c>
      <c r="E244" s="897">
        <v>16</v>
      </c>
      <c r="F244" s="897">
        <v>5</v>
      </c>
      <c r="G244" s="529"/>
      <c r="H244" s="871">
        <f t="shared" si="35"/>
        <v>1</v>
      </c>
      <c r="I244" s="529"/>
      <c r="J244" s="64"/>
      <c r="K244" s="331">
        <v>9</v>
      </c>
      <c r="L244" s="331">
        <v>3</v>
      </c>
    </row>
    <row r="245" spans="1:12">
      <c r="A245" s="64"/>
      <c r="B245" s="64"/>
      <c r="C245" s="529"/>
      <c r="D245" s="867">
        <v>16</v>
      </c>
      <c r="E245" s="868">
        <v>20</v>
      </c>
      <c r="F245" s="868">
        <v>4.5</v>
      </c>
      <c r="G245" s="529"/>
      <c r="H245" s="871">
        <f t="shared" si="35"/>
        <v>4</v>
      </c>
      <c r="I245" s="529"/>
      <c r="J245" s="64"/>
      <c r="K245" s="331">
        <v>10</v>
      </c>
      <c r="L245" s="331">
        <v>3</v>
      </c>
    </row>
    <row r="246" spans="1:12" ht="15.75" thickBot="1">
      <c r="A246" s="64"/>
      <c r="B246" s="64"/>
      <c r="C246" s="529"/>
      <c r="D246" s="870">
        <v>20</v>
      </c>
      <c r="E246" s="869">
        <v>24</v>
      </c>
      <c r="F246" s="869">
        <v>2.5</v>
      </c>
      <c r="G246" s="529"/>
      <c r="H246" s="871">
        <f t="shared" si="35"/>
        <v>4</v>
      </c>
      <c r="I246" s="529"/>
      <c r="J246" s="64"/>
      <c r="K246" s="331">
        <v>11</v>
      </c>
      <c r="L246" s="331">
        <v>3</v>
      </c>
    </row>
    <row r="247" spans="1:12">
      <c r="A247" s="64"/>
      <c r="B247" s="64"/>
      <c r="C247" s="64"/>
      <c r="D247" s="64"/>
      <c r="E247" s="64"/>
      <c r="F247" s="64"/>
      <c r="G247" s="64"/>
      <c r="H247" s="64"/>
      <c r="I247" s="64"/>
      <c r="J247" s="64"/>
      <c r="K247" s="331">
        <v>12</v>
      </c>
      <c r="L247" s="331">
        <v>3</v>
      </c>
    </row>
    <row r="248" spans="1:12" ht="15.75" thickBot="1">
      <c r="K248" s="331">
        <v>13</v>
      </c>
      <c r="L248" s="331">
        <v>4</v>
      </c>
    </row>
    <row r="249" spans="1:12" ht="15.75" thickBot="1">
      <c r="A249" s="527" t="s">
        <v>404</v>
      </c>
      <c r="B249" s="562">
        <f>F244/1000</f>
        <v>5.0000000000000001E-3</v>
      </c>
      <c r="C249" s="962" t="s">
        <v>672</v>
      </c>
      <c r="D249" s="527"/>
      <c r="E249" s="902" t="s">
        <v>403</v>
      </c>
      <c r="F249" s="903">
        <f>365*SUMPRODUCT(F241:F246,H241:H246)/1000</f>
        <v>25.184999999999999</v>
      </c>
      <c r="G249" s="904" t="s">
        <v>295</v>
      </c>
      <c r="H249" s="527"/>
      <c r="K249" s="331">
        <v>14</v>
      </c>
      <c r="L249" s="331">
        <v>4</v>
      </c>
    </row>
    <row r="250" spans="1:12" ht="15.75" thickBot="1">
      <c r="A250" s="527" t="s">
        <v>75</v>
      </c>
      <c r="B250" s="914">
        <v>8760</v>
      </c>
      <c r="C250" s="527"/>
      <c r="D250" s="527"/>
      <c r="E250" s="902" t="s">
        <v>1031</v>
      </c>
      <c r="F250" s="963">
        <f>F249/(B249*B250)</f>
        <v>0.57499999999999996</v>
      </c>
      <c r="G250" s="527"/>
      <c r="H250" s="527"/>
      <c r="K250" s="331">
        <v>15</v>
      </c>
      <c r="L250" s="331">
        <v>4</v>
      </c>
    </row>
    <row r="251" spans="1:12">
      <c r="A251" s="527"/>
      <c r="B251" s="527"/>
      <c r="C251" s="527"/>
      <c r="D251" s="527"/>
      <c r="E251" s="527"/>
      <c r="F251" s="527"/>
      <c r="G251" s="527"/>
      <c r="H251" s="527"/>
      <c r="K251" s="331">
        <v>16</v>
      </c>
      <c r="L251" s="331">
        <v>5</v>
      </c>
    </row>
    <row r="252" spans="1:12">
      <c r="A252" s="87"/>
      <c r="B252" s="87"/>
      <c r="C252" s="87"/>
      <c r="D252" s="87"/>
      <c r="E252" s="87"/>
      <c r="F252" s="87"/>
      <c r="G252" s="87"/>
      <c r="H252" s="87"/>
      <c r="I252" s="87"/>
      <c r="J252" s="87"/>
      <c r="K252" s="331">
        <v>17</v>
      </c>
      <c r="L252" s="331">
        <v>4.5</v>
      </c>
    </row>
    <row r="253" spans="1:12">
      <c r="A253" s="1121" t="s">
        <v>1032</v>
      </c>
      <c r="B253" s="1122"/>
      <c r="C253" s="1122"/>
      <c r="D253" s="1122"/>
      <c r="E253" s="1122"/>
      <c r="F253" s="1122"/>
      <c r="G253" s="1122"/>
      <c r="H253" s="1122"/>
      <c r="I253" s="1122"/>
      <c r="J253" s="1122"/>
      <c r="K253" s="331">
        <v>18</v>
      </c>
      <c r="L253" s="331">
        <v>4.5</v>
      </c>
    </row>
    <row r="254" spans="1:12">
      <c r="A254" s="1159"/>
      <c r="B254" s="1159"/>
      <c r="C254" s="1159"/>
      <c r="D254" s="1159"/>
      <c r="E254" s="1159"/>
      <c r="F254" s="1159"/>
      <c r="G254" s="1159"/>
      <c r="H254" s="1159"/>
      <c r="I254" s="1159"/>
      <c r="J254" s="1159"/>
      <c r="K254" s="331">
        <v>19</v>
      </c>
      <c r="L254" s="331">
        <v>4.5</v>
      </c>
    </row>
    <row r="255" spans="1:12">
      <c r="A255" s="64"/>
      <c r="B255" s="64"/>
      <c r="C255" s="64"/>
      <c r="D255" s="64"/>
      <c r="E255" s="64"/>
      <c r="F255" s="64"/>
      <c r="G255" s="64"/>
      <c r="H255" s="64"/>
      <c r="I255" s="64"/>
      <c r="J255" s="64"/>
      <c r="K255" s="331">
        <v>20</v>
      </c>
      <c r="L255" s="331">
        <v>4.5</v>
      </c>
    </row>
    <row r="256" spans="1:12">
      <c r="A256" s="64"/>
      <c r="B256" s="64"/>
      <c r="C256" s="64"/>
      <c r="D256" s="64"/>
      <c r="E256" s="64"/>
      <c r="F256" s="64"/>
      <c r="G256" s="64"/>
      <c r="H256" s="64"/>
      <c r="I256" s="64"/>
      <c r="J256" s="64"/>
      <c r="K256" s="331">
        <v>21</v>
      </c>
      <c r="L256" s="331">
        <v>2.5</v>
      </c>
    </row>
    <row r="257" spans="1:12">
      <c r="A257" s="64"/>
      <c r="B257" s="64"/>
      <c r="C257" s="64"/>
      <c r="D257" s="64"/>
      <c r="E257" s="64"/>
      <c r="F257" s="64"/>
      <c r="G257" s="64"/>
      <c r="H257" s="64"/>
      <c r="I257" s="64"/>
      <c r="J257" s="64"/>
      <c r="K257" s="331">
        <v>22</v>
      </c>
      <c r="L257" s="331">
        <v>2.5</v>
      </c>
    </row>
    <row r="258" spans="1:12">
      <c r="A258" s="64"/>
      <c r="B258" s="64"/>
      <c r="C258" s="64"/>
      <c r="D258" s="64"/>
      <c r="E258" s="64"/>
      <c r="F258" s="64"/>
      <c r="G258" s="64"/>
      <c r="H258" s="64"/>
      <c r="I258" s="64"/>
      <c r="J258" s="64"/>
      <c r="K258" s="331">
        <v>23</v>
      </c>
      <c r="L258" s="331">
        <v>2.5</v>
      </c>
    </row>
    <row r="259" spans="1:12">
      <c r="A259" s="64"/>
      <c r="B259" s="64"/>
      <c r="C259" s="64"/>
      <c r="D259" s="64"/>
      <c r="E259" s="64"/>
      <c r="F259" s="64"/>
      <c r="G259" s="64"/>
      <c r="H259" s="64"/>
      <c r="I259" s="64"/>
      <c r="J259" s="64"/>
      <c r="K259" s="331">
        <v>24</v>
      </c>
      <c r="L259" s="331">
        <v>2.5</v>
      </c>
    </row>
    <row r="260" spans="1:12">
      <c r="A260" s="64"/>
      <c r="B260" s="64"/>
      <c r="C260" s="64"/>
      <c r="D260" s="64"/>
      <c r="E260" s="64"/>
      <c r="F260" s="64"/>
      <c r="G260" s="64"/>
      <c r="H260" s="64"/>
      <c r="I260" s="64"/>
      <c r="J260" s="64"/>
    </row>
    <row r="261" spans="1:12">
      <c r="A261" s="64"/>
      <c r="B261" s="64"/>
      <c r="C261" s="64"/>
      <c r="D261" s="64"/>
      <c r="E261" s="64"/>
      <c r="F261" s="64"/>
      <c r="G261" s="64"/>
      <c r="H261" s="64"/>
      <c r="I261" s="64"/>
      <c r="J261" s="64"/>
    </row>
    <row r="262" spans="1:12">
      <c r="A262" s="64"/>
      <c r="B262" s="64"/>
      <c r="C262" s="64"/>
      <c r="D262" s="64"/>
      <c r="E262" s="64"/>
      <c r="F262" s="64"/>
      <c r="G262" s="64"/>
      <c r="H262" s="64"/>
      <c r="I262" s="64"/>
      <c r="J262" s="64"/>
    </row>
    <row r="263" spans="1:12">
      <c r="A263" s="64"/>
      <c r="B263" s="64"/>
      <c r="C263" s="64"/>
      <c r="D263" s="64"/>
      <c r="E263" s="64"/>
      <c r="F263" s="64"/>
      <c r="G263" s="64"/>
      <c r="H263" s="64"/>
      <c r="I263" s="64"/>
      <c r="J263" s="64"/>
    </row>
    <row r="264" spans="1:12">
      <c r="A264" s="64"/>
      <c r="B264" s="64"/>
      <c r="C264" s="64"/>
      <c r="D264" s="64"/>
      <c r="E264" s="64"/>
      <c r="F264" s="64"/>
      <c r="G264" s="64"/>
      <c r="H264" s="64"/>
      <c r="I264" s="64"/>
      <c r="J264" s="64"/>
    </row>
    <row r="265" spans="1:12">
      <c r="A265" s="64"/>
      <c r="B265" s="64"/>
      <c r="C265" s="64"/>
      <c r="D265" s="64"/>
      <c r="E265" s="64"/>
      <c r="F265" s="64"/>
      <c r="G265" s="64"/>
      <c r="H265" s="64"/>
      <c r="I265" s="64"/>
      <c r="J265" s="64"/>
    </row>
    <row r="266" spans="1:12">
      <c r="A266" s="64"/>
      <c r="B266" s="64"/>
      <c r="C266" s="64"/>
      <c r="D266" s="64"/>
      <c r="E266" s="64"/>
      <c r="F266" s="64"/>
      <c r="G266" s="64"/>
      <c r="H266" s="64"/>
      <c r="I266" s="64"/>
      <c r="J266" s="64"/>
    </row>
    <row r="267" spans="1:12" s="70" customFormat="1">
      <c r="A267" s="64"/>
      <c r="B267" s="64"/>
      <c r="C267" s="64"/>
      <c r="D267" s="64"/>
      <c r="E267" s="64"/>
      <c r="F267" s="64"/>
      <c r="G267" s="64"/>
      <c r="H267" s="64"/>
      <c r="I267" s="64"/>
      <c r="J267" s="64"/>
    </row>
    <row r="268" spans="1:12" s="70" customFormat="1">
      <c r="A268" s="64"/>
      <c r="B268" s="64"/>
      <c r="C268" s="64"/>
      <c r="D268" s="64"/>
      <c r="E268" s="64"/>
      <c r="F268" s="64"/>
      <c r="G268" s="64"/>
      <c r="H268" s="64"/>
      <c r="I268" s="64"/>
      <c r="J268" s="64"/>
    </row>
    <row r="269" spans="1:12" s="70" customFormat="1">
      <c r="A269" s="64"/>
      <c r="B269" s="64"/>
      <c r="C269" s="64"/>
      <c r="D269" s="64"/>
      <c r="E269" s="64"/>
      <c r="F269" s="64"/>
      <c r="G269" s="64"/>
      <c r="H269" s="64"/>
      <c r="I269" s="64"/>
      <c r="J269" s="64"/>
    </row>
    <row r="270" spans="1:12">
      <c r="A270" s="1370"/>
      <c r="B270" s="1474"/>
      <c r="C270" s="1370" t="s">
        <v>299</v>
      </c>
      <c r="D270" s="1474"/>
      <c r="E270" s="527"/>
      <c r="F270" s="898"/>
      <c r="G270" s="527"/>
      <c r="H270" s="527"/>
    </row>
    <row r="271" spans="1:12">
      <c r="A271" s="1473" t="s">
        <v>1033</v>
      </c>
      <c r="B271" s="1473"/>
      <c r="C271" s="899">
        <f>(2500*8760)/1000</f>
        <v>21900</v>
      </c>
      <c r="D271" s="899" t="s">
        <v>405</v>
      </c>
      <c r="E271" s="527"/>
      <c r="F271" s="900"/>
      <c r="G271" s="527"/>
      <c r="H271" s="527"/>
    </row>
    <row r="272" spans="1:12">
      <c r="A272" s="1473" t="s">
        <v>433</v>
      </c>
      <c r="B272" s="1473"/>
      <c r="C272" s="899">
        <f>((8760+(0.2*8760))*(7500-2500)/2)/1000</f>
        <v>26280</v>
      </c>
      <c r="D272" s="899" t="s">
        <v>405</v>
      </c>
      <c r="E272" s="527"/>
      <c r="F272" s="900"/>
      <c r="G272" s="527"/>
      <c r="H272" s="527"/>
    </row>
    <row r="273" spans="1:12" ht="15.75" thickBot="1">
      <c r="A273" s="1473" t="s">
        <v>434</v>
      </c>
      <c r="B273" s="1473"/>
      <c r="C273" s="899">
        <f>((2500*0.2*8760)/2)/1000</f>
        <v>2190</v>
      </c>
      <c r="D273" s="899" t="s">
        <v>405</v>
      </c>
      <c r="E273" s="527"/>
      <c r="F273" s="900"/>
      <c r="G273" s="527"/>
      <c r="H273" s="527"/>
    </row>
    <row r="274" spans="1:12" ht="15.75" thickBot="1">
      <c r="A274" s="1473" t="s">
        <v>28</v>
      </c>
      <c r="B274" s="1473" t="s">
        <v>28</v>
      </c>
      <c r="C274" s="899">
        <f>SUM(C271:C273)</f>
        <v>50370</v>
      </c>
      <c r="D274" s="901" t="s">
        <v>405</v>
      </c>
      <c r="E274" s="902" t="s">
        <v>673</v>
      </c>
      <c r="F274" s="903">
        <v>10</v>
      </c>
      <c r="G274" s="904" t="s">
        <v>672</v>
      </c>
      <c r="H274" s="527"/>
    </row>
    <row r="275" spans="1:12" ht="15.75" thickBot="1">
      <c r="A275" s="527"/>
      <c r="B275" s="527"/>
      <c r="C275" s="527"/>
      <c r="D275" s="527"/>
      <c r="E275" s="902" t="s">
        <v>720</v>
      </c>
      <c r="F275" s="905">
        <f>C274</f>
        <v>50370</v>
      </c>
      <c r="G275" s="904" t="s">
        <v>405</v>
      </c>
      <c r="H275" s="527"/>
    </row>
    <row r="276" spans="1:12" ht="17.25" customHeight="1" thickBot="1">
      <c r="A276" s="527"/>
      <c r="B276" s="527"/>
      <c r="C276" s="527"/>
      <c r="D276" s="527"/>
      <c r="E276" s="902" t="s">
        <v>1031</v>
      </c>
      <c r="F276" s="906">
        <f>F275/(F274*8760)</f>
        <v>0.57499999999999996</v>
      </c>
      <c r="G276" s="527"/>
      <c r="H276" s="527"/>
    </row>
    <row r="277" spans="1:12" ht="12.75" customHeight="1">
      <c r="A277" s="87"/>
      <c r="B277" s="87"/>
      <c r="C277" s="87"/>
      <c r="D277" s="87"/>
      <c r="E277" s="87"/>
      <c r="F277" s="87"/>
      <c r="G277" s="87"/>
      <c r="H277" s="87"/>
      <c r="I277" s="87"/>
      <c r="J277" s="87"/>
      <c r="K277" s="87"/>
    </row>
    <row r="278" spans="1:12" ht="15.75" customHeight="1">
      <c r="A278" s="1430" t="s">
        <v>1040</v>
      </c>
      <c r="B278" s="1123"/>
      <c r="C278" s="1123"/>
      <c r="D278" s="1123"/>
      <c r="E278" s="1123"/>
      <c r="F278" s="1123"/>
      <c r="G278" s="1123"/>
      <c r="H278" s="1123"/>
      <c r="I278" s="1123"/>
      <c r="J278" s="1123"/>
      <c r="K278" s="1123"/>
    </row>
    <row r="279" spans="1:12" ht="15.75" customHeight="1">
      <c r="A279" s="1123"/>
      <c r="B279" s="1123"/>
      <c r="C279" s="1123"/>
      <c r="D279" s="1123"/>
      <c r="E279" s="1123"/>
      <c r="F279" s="1123"/>
      <c r="G279" s="1123"/>
      <c r="H279" s="1123"/>
      <c r="I279" s="1123"/>
      <c r="J279" s="1123"/>
      <c r="K279" s="1123"/>
    </row>
    <row r="280" spans="1:12">
      <c r="A280" s="1123"/>
      <c r="B280" s="1123"/>
      <c r="C280" s="1123"/>
      <c r="D280" s="1123"/>
      <c r="E280" s="1123"/>
      <c r="F280" s="1123"/>
      <c r="G280" s="1123"/>
      <c r="H280" s="1123"/>
      <c r="I280" s="1123"/>
      <c r="J280" s="1123"/>
      <c r="K280" s="1123"/>
    </row>
    <row r="281" spans="1:12">
      <c r="A281" s="1123"/>
      <c r="B281" s="1123"/>
      <c r="C281" s="1123"/>
      <c r="D281" s="1123"/>
      <c r="E281" s="1123"/>
      <c r="F281" s="1123"/>
      <c r="G281" s="1123"/>
      <c r="H281" s="1123"/>
      <c r="I281" s="1123"/>
      <c r="J281" s="1123"/>
      <c r="K281" s="1123"/>
    </row>
    <row r="282" spans="1:12" ht="19.5" customHeight="1">
      <c r="A282" s="1123"/>
      <c r="B282" s="1123"/>
      <c r="C282" s="1123"/>
      <c r="D282" s="1123"/>
      <c r="E282" s="1123"/>
      <c r="F282" s="1123"/>
      <c r="G282" s="1123"/>
      <c r="H282" s="1123"/>
      <c r="I282" s="1123"/>
      <c r="J282" s="1123"/>
      <c r="K282" s="1123"/>
    </row>
    <row r="283" spans="1:12" ht="29.25" customHeight="1" thickBot="1">
      <c r="A283" s="529"/>
      <c r="B283" s="1069" t="s">
        <v>984</v>
      </c>
      <c r="C283" s="1069"/>
      <c r="D283" s="1069"/>
      <c r="E283" s="1069"/>
      <c r="F283" s="1069"/>
      <c r="G283" s="1069"/>
      <c r="H283" s="1069"/>
      <c r="I283" s="1069"/>
      <c r="J283" s="529"/>
      <c r="K283" s="529"/>
      <c r="L283" s="527"/>
    </row>
    <row r="284" spans="1:12">
      <c r="A284" s="1313" t="s">
        <v>406</v>
      </c>
      <c r="B284" s="1334"/>
      <c r="C284" s="1334"/>
      <c r="D284" s="1313" t="s">
        <v>407</v>
      </c>
      <c r="E284" s="1334"/>
      <c r="F284" s="1334"/>
      <c r="G284" s="1314"/>
      <c r="H284" s="1313" t="s">
        <v>1041</v>
      </c>
      <c r="I284" s="1334"/>
      <c r="J284" s="1334"/>
      <c r="K284" s="1314"/>
      <c r="L284" s="56"/>
    </row>
    <row r="285" spans="1:12" ht="15.75" thickBot="1">
      <c r="A285" s="1337" t="s">
        <v>253</v>
      </c>
      <c r="B285" s="1339"/>
      <c r="C285" s="1339"/>
      <c r="D285" s="1337" t="s">
        <v>408</v>
      </c>
      <c r="E285" s="1339"/>
      <c r="F285" s="916" t="s">
        <v>253</v>
      </c>
      <c r="G285" s="913"/>
      <c r="H285" s="1337" t="s">
        <v>205</v>
      </c>
      <c r="I285" s="1339"/>
      <c r="J285" s="916" t="s">
        <v>253</v>
      </c>
      <c r="K285" s="964"/>
      <c r="L285" s="56"/>
    </row>
    <row r="286" spans="1:12">
      <c r="A286" s="1308">
        <v>920</v>
      </c>
      <c r="B286" s="1279"/>
      <c r="C286" s="1279"/>
      <c r="D286" s="1315" t="s">
        <v>409</v>
      </c>
      <c r="E286" s="1057"/>
      <c r="F286" s="873">
        <v>650</v>
      </c>
      <c r="G286" s="810" t="s">
        <v>410</v>
      </c>
      <c r="H286" s="1315" t="s">
        <v>411</v>
      </c>
      <c r="I286" s="1057"/>
      <c r="J286" s="873">
        <v>600</v>
      </c>
      <c r="K286" s="810" t="s">
        <v>412</v>
      </c>
      <c r="L286" s="527"/>
    </row>
    <row r="287" spans="1:12">
      <c r="A287" s="1308"/>
      <c r="B287" s="1279"/>
      <c r="C287" s="1279"/>
      <c r="D287" s="1308" t="s">
        <v>413</v>
      </c>
      <c r="E287" s="1279"/>
      <c r="F287" s="873">
        <v>750</v>
      </c>
      <c r="G287" s="810" t="s">
        <v>414</v>
      </c>
      <c r="H287" s="1308" t="s">
        <v>415</v>
      </c>
      <c r="I287" s="1279"/>
      <c r="J287" s="873">
        <v>1000</v>
      </c>
      <c r="K287" s="810" t="s">
        <v>412</v>
      </c>
      <c r="L287" s="527"/>
    </row>
    <row r="288" spans="1:12" ht="15.75" thickBot="1">
      <c r="A288" s="1310"/>
      <c r="B288" s="1058"/>
      <c r="C288" s="1058"/>
      <c r="D288" s="1310" t="s">
        <v>416</v>
      </c>
      <c r="E288" s="1058"/>
      <c r="F288" s="866">
        <v>1000</v>
      </c>
      <c r="G288" s="872"/>
      <c r="H288" s="1310" t="s">
        <v>417</v>
      </c>
      <c r="I288" s="1058"/>
      <c r="J288" s="866">
        <v>600</v>
      </c>
      <c r="K288" s="872" t="s">
        <v>412</v>
      </c>
      <c r="L288" s="527"/>
    </row>
    <row r="289" spans="1:12">
      <c r="A289" s="1430" t="s">
        <v>1034</v>
      </c>
      <c r="B289" s="1437"/>
      <c r="C289" s="1437"/>
      <c r="D289" s="1437"/>
      <c r="E289" s="1437"/>
      <c r="F289" s="1437"/>
      <c r="G289" s="1437"/>
      <c r="H289" s="1437"/>
      <c r="I289" s="1437"/>
      <c r="J289" s="1437"/>
      <c r="K289" s="1437"/>
      <c r="L289" s="527"/>
    </row>
    <row r="290" spans="1:12">
      <c r="A290" s="1437"/>
      <c r="B290" s="1437"/>
      <c r="C290" s="1437"/>
      <c r="D290" s="1437"/>
      <c r="E290" s="1437"/>
      <c r="F290" s="1437"/>
      <c r="G290" s="1437"/>
      <c r="H290" s="1437"/>
      <c r="I290" s="1437"/>
      <c r="J290" s="1437"/>
      <c r="K290" s="1437"/>
      <c r="L290" s="527"/>
    </row>
    <row r="291" spans="1:12">
      <c r="A291" s="1437"/>
      <c r="B291" s="1437"/>
      <c r="C291" s="1437"/>
      <c r="D291" s="1437"/>
      <c r="E291" s="1437"/>
      <c r="F291" s="1437"/>
      <c r="G291" s="1437"/>
      <c r="H291" s="1437"/>
      <c r="I291" s="1437"/>
      <c r="J291" s="1437"/>
      <c r="K291" s="1437"/>
      <c r="L291" s="527"/>
    </row>
    <row r="292" spans="1:12" ht="23.25" customHeight="1" thickBot="1">
      <c r="A292" s="1438" t="s">
        <v>985</v>
      </c>
      <c r="B292" s="1439"/>
      <c r="C292" s="1439"/>
      <c r="D292" s="1439"/>
      <c r="E292" s="1439"/>
      <c r="F292" s="1439"/>
      <c r="G292" s="1439"/>
      <c r="H292" s="1439"/>
      <c r="I292" s="1439"/>
      <c r="J292" s="1439"/>
      <c r="K292" s="1439"/>
      <c r="L292" s="527"/>
    </row>
    <row r="293" spans="1:12" ht="15.75" thickBot="1">
      <c r="A293" s="1249" t="s">
        <v>418</v>
      </c>
      <c r="B293" s="1250"/>
      <c r="C293" s="1249" t="s">
        <v>1035</v>
      </c>
      <c r="D293" s="1016"/>
      <c r="E293" s="1016" t="s">
        <v>419</v>
      </c>
      <c r="F293" s="1250"/>
      <c r="G293" s="1249" t="s">
        <v>1036</v>
      </c>
      <c r="H293" s="1250"/>
      <c r="I293" s="1249" t="s">
        <v>420</v>
      </c>
      <c r="J293" s="1016"/>
      <c r="K293" s="1250"/>
      <c r="L293" s="527"/>
    </row>
    <row r="294" spans="1:12">
      <c r="A294" s="1308" t="s">
        <v>421</v>
      </c>
      <c r="B294" s="1309"/>
      <c r="C294" s="1315">
        <v>10</v>
      </c>
      <c r="D294" s="1057"/>
      <c r="E294" s="1057">
        <v>500</v>
      </c>
      <c r="F294" s="1055"/>
      <c r="G294" s="1315">
        <v>2</v>
      </c>
      <c r="H294" s="1055"/>
      <c r="I294" s="1315">
        <v>750</v>
      </c>
      <c r="J294" s="1279"/>
      <c r="K294" s="1055"/>
      <c r="L294" s="527"/>
    </row>
    <row r="295" spans="1:12">
      <c r="A295" s="1308" t="s">
        <v>422</v>
      </c>
      <c r="B295" s="1309"/>
      <c r="C295" s="1308">
        <v>4</v>
      </c>
      <c r="D295" s="1279"/>
      <c r="E295" s="1279">
        <v>300</v>
      </c>
      <c r="F295" s="1309"/>
      <c r="G295" s="1308">
        <v>4</v>
      </c>
      <c r="H295" s="1309"/>
      <c r="I295" s="1308">
        <v>400</v>
      </c>
      <c r="J295" s="1279"/>
      <c r="K295" s="1309"/>
      <c r="L295" s="527"/>
    </row>
    <row r="296" spans="1:12">
      <c r="A296" s="1308" t="s">
        <v>423</v>
      </c>
      <c r="B296" s="1309"/>
      <c r="C296" s="1308">
        <v>2</v>
      </c>
      <c r="D296" s="1279"/>
      <c r="E296" s="1279">
        <v>1000</v>
      </c>
      <c r="F296" s="1309"/>
      <c r="G296" s="1308">
        <v>0</v>
      </c>
      <c r="H296" s="1309"/>
      <c r="I296" s="1308">
        <v>0</v>
      </c>
      <c r="J296" s="1279"/>
      <c r="K296" s="1309"/>
      <c r="L296" s="527"/>
    </row>
    <row r="297" spans="1:12" ht="15.75" thickBot="1">
      <c r="A297" s="1310" t="s">
        <v>424</v>
      </c>
      <c r="B297" s="1056"/>
      <c r="C297" s="1310">
        <v>5</v>
      </c>
      <c r="D297" s="1058"/>
      <c r="E297" s="1058">
        <v>300</v>
      </c>
      <c r="F297" s="1056"/>
      <c r="G297" s="1310">
        <v>1</v>
      </c>
      <c r="H297" s="1056"/>
      <c r="I297" s="1310">
        <v>300</v>
      </c>
      <c r="J297" s="1058"/>
      <c r="K297" s="1056"/>
      <c r="L297" s="527"/>
    </row>
    <row r="298" spans="1:12" ht="23.25" customHeight="1" thickBot="1">
      <c r="A298" s="449"/>
      <c r="B298" s="449"/>
      <c r="C298" s="1207" t="s">
        <v>986</v>
      </c>
      <c r="D298" s="1207"/>
      <c r="E298" s="1207"/>
      <c r="F298" s="1207"/>
      <c r="G298" s="1207"/>
      <c r="H298" s="909"/>
      <c r="I298" s="449"/>
      <c r="J298" s="449"/>
      <c r="K298" s="449"/>
      <c r="L298" s="527"/>
    </row>
    <row r="299" spans="1:12" ht="15.75" customHeight="1">
      <c r="A299" s="529"/>
      <c r="B299" s="529"/>
      <c r="C299" s="1313" t="s">
        <v>425</v>
      </c>
      <c r="D299" s="1314"/>
      <c r="E299" s="907" t="s">
        <v>426</v>
      </c>
      <c r="F299" s="1313" t="s">
        <v>426</v>
      </c>
      <c r="G299" s="1314"/>
      <c r="H299" s="117"/>
      <c r="I299" s="529"/>
      <c r="J299" s="529"/>
      <c r="K299" s="529"/>
      <c r="L299" s="527"/>
    </row>
    <row r="300" spans="1:12" ht="15.75" thickBot="1">
      <c r="A300" s="529"/>
      <c r="B300" s="529"/>
      <c r="C300" s="1337" t="s">
        <v>205</v>
      </c>
      <c r="D300" s="1338"/>
      <c r="E300" s="908" t="s">
        <v>427</v>
      </c>
      <c r="F300" s="1337" t="s">
        <v>1037</v>
      </c>
      <c r="G300" s="1338"/>
      <c r="H300" s="117"/>
      <c r="I300" s="529"/>
      <c r="J300" s="529"/>
      <c r="K300" s="529"/>
      <c r="L300" s="527"/>
    </row>
    <row r="301" spans="1:12">
      <c r="A301" s="529"/>
      <c r="B301" s="529"/>
      <c r="C301" s="1315" t="s">
        <v>428</v>
      </c>
      <c r="D301" s="1055"/>
      <c r="E301" s="873">
        <v>103</v>
      </c>
      <c r="F301" s="1315">
        <v>10.3</v>
      </c>
      <c r="G301" s="1055"/>
      <c r="H301" s="529"/>
      <c r="I301" s="529"/>
      <c r="J301" s="529"/>
      <c r="K301" s="529"/>
      <c r="L301" s="527"/>
    </row>
    <row r="302" spans="1:12">
      <c r="A302" s="529"/>
      <c r="B302" s="529"/>
      <c r="C302" s="1308" t="s">
        <v>429</v>
      </c>
      <c r="D302" s="1309"/>
      <c r="E302" s="873">
        <v>20</v>
      </c>
      <c r="F302" s="1308">
        <v>2</v>
      </c>
      <c r="G302" s="1309"/>
      <c r="H302" s="529"/>
      <c r="I302" s="529"/>
      <c r="J302" s="529"/>
      <c r="K302" s="529"/>
      <c r="L302" s="527"/>
    </row>
    <row r="303" spans="1:12">
      <c r="A303" s="529"/>
      <c r="B303" s="529"/>
      <c r="C303" s="1308" t="s">
        <v>430</v>
      </c>
      <c r="D303" s="1309"/>
      <c r="E303" s="873">
        <v>95</v>
      </c>
      <c r="F303" s="1308">
        <v>9.5</v>
      </c>
      <c r="G303" s="1309"/>
      <c r="H303" s="529"/>
      <c r="I303" s="529"/>
      <c r="J303" s="529"/>
      <c r="K303" s="529"/>
      <c r="L303" s="527"/>
    </row>
    <row r="304" spans="1:12">
      <c r="A304" s="529"/>
      <c r="B304" s="529"/>
      <c r="C304" s="1308" t="s">
        <v>431</v>
      </c>
      <c r="D304" s="1309"/>
      <c r="E304" s="873">
        <v>10</v>
      </c>
      <c r="F304" s="1308">
        <v>1</v>
      </c>
      <c r="G304" s="1309"/>
      <c r="H304" s="529"/>
      <c r="I304" s="529"/>
      <c r="J304" s="529"/>
      <c r="K304" s="529"/>
      <c r="L304" s="527"/>
    </row>
    <row r="305" spans="1:12" ht="15.75" thickBot="1">
      <c r="A305" s="529"/>
      <c r="B305" s="529"/>
      <c r="C305" s="1310" t="s">
        <v>432</v>
      </c>
      <c r="D305" s="1056"/>
      <c r="E305" s="866">
        <v>3</v>
      </c>
      <c r="F305" s="1310">
        <v>0.3</v>
      </c>
      <c r="G305" s="1056"/>
      <c r="H305" s="529"/>
      <c r="I305" s="529"/>
      <c r="J305" s="529"/>
      <c r="K305" s="529"/>
      <c r="L305" s="527"/>
    </row>
    <row r="306" spans="1:12">
      <c r="A306" s="529"/>
      <c r="B306" s="529"/>
      <c r="C306" s="529"/>
      <c r="D306" s="529"/>
      <c r="E306" s="529"/>
      <c r="F306" s="529"/>
      <c r="G306" s="529"/>
      <c r="H306" s="529"/>
      <c r="I306" s="529"/>
      <c r="J306" s="529"/>
      <c r="K306" s="529"/>
      <c r="L306" s="527"/>
    </row>
    <row r="307" spans="1:12">
      <c r="A307" s="1013" t="s">
        <v>1042</v>
      </c>
      <c r="B307" s="1162"/>
      <c r="C307" s="1162"/>
      <c r="D307" s="1162"/>
      <c r="E307" s="1162"/>
      <c r="F307" s="1162"/>
      <c r="G307" s="1162"/>
      <c r="H307" s="1162"/>
      <c r="I307" s="1162"/>
      <c r="J307" s="1162"/>
      <c r="K307" s="1162"/>
      <c r="L307" s="527"/>
    </row>
    <row r="308" spans="1:12" ht="15" customHeight="1">
      <c r="A308" s="1162"/>
      <c r="B308" s="1162"/>
      <c r="C308" s="1162"/>
      <c r="D308" s="1162"/>
      <c r="E308" s="1162"/>
      <c r="F308" s="1162"/>
      <c r="G308" s="1162"/>
      <c r="H308" s="1162"/>
      <c r="I308" s="1162"/>
      <c r="J308" s="1162"/>
      <c r="K308" s="1162"/>
      <c r="L308" s="527"/>
    </row>
    <row r="309" spans="1:12">
      <c r="A309" s="1162"/>
      <c r="B309" s="1162"/>
      <c r="C309" s="1162"/>
      <c r="D309" s="1162"/>
      <c r="E309" s="1162"/>
      <c r="F309" s="1162"/>
      <c r="G309" s="1162"/>
      <c r="H309" s="1162"/>
      <c r="I309" s="1162"/>
      <c r="J309" s="1162"/>
      <c r="K309" s="1162"/>
      <c r="L309" s="527"/>
    </row>
    <row r="310" spans="1:12">
      <c r="A310" s="64"/>
      <c r="B310" s="64"/>
      <c r="C310" s="64"/>
      <c r="D310" s="64"/>
      <c r="E310" s="64"/>
      <c r="F310" s="64"/>
      <c r="G310" s="64"/>
      <c r="H310" s="64"/>
      <c r="I310" s="64"/>
      <c r="J310" s="64"/>
      <c r="K310" s="64"/>
    </row>
    <row r="311" spans="1:12">
      <c r="A311" s="64"/>
      <c r="B311" s="529"/>
      <c r="C311" s="529"/>
      <c r="D311" s="529"/>
      <c r="E311" s="529"/>
      <c r="F311" s="529"/>
      <c r="G311" s="529"/>
      <c r="H311" s="529"/>
      <c r="I311" s="529"/>
      <c r="J311" s="529"/>
      <c r="K311" s="64"/>
    </row>
    <row r="312" spans="1:12">
      <c r="A312" s="64"/>
      <c r="B312" s="529"/>
      <c r="C312" s="529"/>
      <c r="D312" s="529"/>
      <c r="E312" s="529"/>
      <c r="F312" s="529"/>
      <c r="G312" s="529"/>
      <c r="H312" s="529"/>
      <c r="I312" s="529"/>
      <c r="J312" s="529"/>
      <c r="K312" s="64"/>
    </row>
    <row r="313" spans="1:12">
      <c r="A313" s="64"/>
      <c r="B313" s="529"/>
      <c r="C313" s="529"/>
      <c r="D313" s="529"/>
      <c r="E313" s="529"/>
      <c r="F313" s="529"/>
      <c r="G313" s="529"/>
      <c r="H313" s="529"/>
      <c r="I313" s="529"/>
      <c r="J313" s="529"/>
      <c r="K313" s="64"/>
    </row>
    <row r="314" spans="1:12">
      <c r="A314" s="64"/>
      <c r="B314" s="529"/>
      <c r="C314" s="529"/>
      <c r="D314" s="529"/>
      <c r="E314" s="529"/>
      <c r="F314" s="529"/>
      <c r="G314" s="529"/>
      <c r="H314" s="529"/>
      <c r="I314" s="529"/>
      <c r="J314" s="529"/>
      <c r="K314" s="64"/>
    </row>
    <row r="315" spans="1:12">
      <c r="A315" s="64"/>
      <c r="B315" s="529"/>
      <c r="C315" s="529"/>
      <c r="D315" s="529"/>
      <c r="E315" s="529"/>
      <c r="F315" s="529"/>
      <c r="G315" s="529"/>
      <c r="H315" s="529"/>
      <c r="I315" s="529"/>
      <c r="J315" s="529"/>
      <c r="K315" s="64"/>
    </row>
    <row r="316" spans="1:12">
      <c r="A316" s="64"/>
      <c r="B316" s="529"/>
      <c r="C316" s="529"/>
      <c r="D316" s="529"/>
      <c r="E316" s="529"/>
      <c r="F316" s="529"/>
      <c r="G316" s="529"/>
      <c r="H316" s="529"/>
      <c r="I316" s="529"/>
      <c r="J316" s="529"/>
      <c r="K316" s="64"/>
    </row>
    <row r="317" spans="1:12">
      <c r="A317" s="64"/>
      <c r="B317" s="529"/>
      <c r="C317" s="529"/>
      <c r="D317" s="529"/>
      <c r="E317" s="529"/>
      <c r="F317" s="529"/>
      <c r="G317" s="529"/>
      <c r="H317" s="529"/>
      <c r="I317" s="529"/>
      <c r="J317" s="529"/>
      <c r="K317" s="64"/>
    </row>
    <row r="318" spans="1:12">
      <c r="A318" s="64"/>
      <c r="B318" s="529"/>
      <c r="C318" s="529"/>
      <c r="D318" s="529"/>
      <c r="E318" s="529"/>
      <c r="F318" s="529"/>
      <c r="G318" s="529"/>
      <c r="H318" s="529"/>
      <c r="I318" s="529"/>
      <c r="J318" s="529"/>
      <c r="K318" s="64"/>
    </row>
    <row r="319" spans="1:12" ht="10.5" customHeight="1">
      <c r="A319" s="1013" t="s">
        <v>1038</v>
      </c>
      <c r="B319" s="1159"/>
      <c r="C319" s="1159"/>
      <c r="D319" s="1159"/>
      <c r="E319" s="1159"/>
      <c r="F319" s="1159"/>
      <c r="G319" s="1159"/>
      <c r="H319" s="1159"/>
      <c r="I319" s="1159"/>
      <c r="J319" s="1159"/>
      <c r="K319" s="1159"/>
    </row>
    <row r="320" spans="1:12" ht="6.75" customHeight="1">
      <c r="A320" s="1159"/>
      <c r="B320" s="1159"/>
      <c r="C320" s="1159"/>
      <c r="D320" s="1159"/>
      <c r="E320" s="1159"/>
      <c r="F320" s="1159"/>
      <c r="G320" s="1159"/>
      <c r="H320" s="1159"/>
      <c r="I320" s="1159"/>
      <c r="J320" s="1159"/>
      <c r="K320" s="1159"/>
    </row>
    <row r="321" spans="1:13" ht="4.5" customHeight="1">
      <c r="A321" s="1159"/>
      <c r="B321" s="1159"/>
      <c r="C321" s="1159"/>
      <c r="D321" s="1159"/>
      <c r="E321" s="1159"/>
      <c r="F321" s="1159"/>
      <c r="G321" s="1159"/>
      <c r="H321" s="1159"/>
      <c r="I321" s="1159"/>
      <c r="J321" s="1159"/>
      <c r="K321" s="1159"/>
    </row>
    <row r="322" spans="1:13">
      <c r="A322" s="1159"/>
      <c r="B322" s="1159"/>
      <c r="C322" s="1159"/>
      <c r="D322" s="1159"/>
      <c r="E322" s="1159"/>
      <c r="F322" s="1159"/>
      <c r="G322" s="1159"/>
      <c r="H322" s="1159"/>
      <c r="I322" s="1159"/>
      <c r="J322" s="1159"/>
      <c r="K322" s="1159"/>
    </row>
    <row r="323" spans="1:13">
      <c r="A323" s="1159"/>
      <c r="B323" s="1159"/>
      <c r="C323" s="1159"/>
      <c r="D323" s="1159"/>
      <c r="E323" s="1159"/>
      <c r="F323" s="1159"/>
      <c r="G323" s="1159"/>
      <c r="H323" s="1159"/>
      <c r="I323" s="1159"/>
      <c r="J323" s="1159"/>
      <c r="K323" s="1159"/>
    </row>
    <row r="324" spans="1:13">
      <c r="A324" s="1159"/>
      <c r="B324" s="1159"/>
      <c r="C324" s="1159"/>
      <c r="D324" s="1159"/>
      <c r="E324" s="1159"/>
      <c r="F324" s="1159"/>
      <c r="G324" s="1159"/>
      <c r="H324" s="1159"/>
      <c r="I324" s="1159"/>
      <c r="J324" s="1159"/>
      <c r="K324" s="1159"/>
    </row>
    <row r="326" spans="1:13" ht="15.75" thickBot="1">
      <c r="A326" s="527" t="s">
        <v>1043</v>
      </c>
    </row>
    <row r="327" spans="1:13" ht="15.75" thickBot="1">
      <c r="A327" s="1361" t="s">
        <v>436</v>
      </c>
      <c r="B327" s="1362"/>
      <c r="C327" s="1362"/>
      <c r="D327" s="1362"/>
      <c r="E327" s="1362"/>
      <c r="F327" s="1363"/>
      <c r="G327" s="1364" t="s">
        <v>437</v>
      </c>
      <c r="H327" s="1365"/>
      <c r="I327" s="1365"/>
      <c r="J327" s="1365"/>
      <c r="K327" s="1365"/>
      <c r="L327" s="1365"/>
      <c r="M327" s="1366"/>
    </row>
    <row r="328" spans="1:13" ht="27" customHeight="1">
      <c r="A328" s="1374" t="s">
        <v>401</v>
      </c>
      <c r="B328" s="1355"/>
      <c r="C328" s="1355" t="s">
        <v>1050</v>
      </c>
      <c r="D328" s="1355"/>
      <c r="E328" s="912" t="s">
        <v>438</v>
      </c>
      <c r="F328" s="450" t="s">
        <v>439</v>
      </c>
      <c r="G328" s="1374" t="s">
        <v>401</v>
      </c>
      <c r="H328" s="1355"/>
      <c r="I328" s="1355" t="s">
        <v>1050</v>
      </c>
      <c r="J328" s="1355"/>
      <c r="K328" s="1447" t="s">
        <v>438</v>
      </c>
      <c r="L328" s="1447"/>
      <c r="M328" s="451" t="s">
        <v>439</v>
      </c>
    </row>
    <row r="329" spans="1:13">
      <c r="A329" s="1367" t="s">
        <v>1044</v>
      </c>
      <c r="B329" s="1033"/>
      <c r="C329" s="1033">
        <f>J286</f>
        <v>600</v>
      </c>
      <c r="D329" s="1033"/>
      <c r="E329" s="452">
        <f>E301/1000</f>
        <v>0.10299999999999999</v>
      </c>
      <c r="F329" s="278">
        <f>E329*C329</f>
        <v>61.8</v>
      </c>
      <c r="G329" s="1367" t="s">
        <v>1044</v>
      </c>
      <c r="H329" s="1033"/>
      <c r="I329" s="1033">
        <f>C329</f>
        <v>600</v>
      </c>
      <c r="J329" s="1033"/>
      <c r="K329" s="1448">
        <f>F301/1000</f>
        <v>1.03E-2</v>
      </c>
      <c r="L329" s="1448"/>
      <c r="M329" s="278">
        <f>K329*I329</f>
        <v>6.18</v>
      </c>
    </row>
    <row r="330" spans="1:13">
      <c r="A330" s="1367" t="s">
        <v>1045</v>
      </c>
      <c r="B330" s="1033"/>
      <c r="C330" s="1033">
        <f>J287</f>
        <v>1000</v>
      </c>
      <c r="D330" s="1033"/>
      <c r="E330" s="452">
        <f>E302/1000</f>
        <v>0.02</v>
      </c>
      <c r="F330" s="278">
        <f>E330*C330</f>
        <v>20</v>
      </c>
      <c r="G330" s="1367" t="s">
        <v>1045</v>
      </c>
      <c r="H330" s="1033"/>
      <c r="I330" s="1033">
        <f>C330</f>
        <v>1000</v>
      </c>
      <c r="J330" s="1033"/>
      <c r="K330" s="1448">
        <f>F302/1000</f>
        <v>2E-3</v>
      </c>
      <c r="L330" s="1448"/>
      <c r="M330" s="278">
        <f>K330*I330</f>
        <v>2</v>
      </c>
    </row>
    <row r="331" spans="1:13">
      <c r="A331" s="1367" t="s">
        <v>1046</v>
      </c>
      <c r="B331" s="1033"/>
      <c r="C331" s="1033">
        <f>J287</f>
        <v>1000</v>
      </c>
      <c r="D331" s="1033"/>
      <c r="E331" s="452">
        <f>E303/1000</f>
        <v>9.5000000000000001E-2</v>
      </c>
      <c r="F331" s="278">
        <f>E331*C331</f>
        <v>95</v>
      </c>
      <c r="G331" s="1367" t="s">
        <v>1046</v>
      </c>
      <c r="H331" s="1033"/>
      <c r="I331" s="1033">
        <f>C331</f>
        <v>1000</v>
      </c>
      <c r="J331" s="1033"/>
      <c r="K331" s="1448">
        <f>F303/1000</f>
        <v>9.4999999999999998E-3</v>
      </c>
      <c r="L331" s="1448"/>
      <c r="M331" s="278">
        <f>K331*I331</f>
        <v>9.5</v>
      </c>
    </row>
    <row r="332" spans="1:13">
      <c r="A332" s="1367" t="s">
        <v>1047</v>
      </c>
      <c r="B332" s="1033"/>
      <c r="C332" s="1033">
        <f>J288</f>
        <v>600</v>
      </c>
      <c r="D332" s="1033"/>
      <c r="E332" s="452">
        <f>E304/1000</f>
        <v>0.01</v>
      </c>
      <c r="F332" s="278">
        <f>E332*C332</f>
        <v>6</v>
      </c>
      <c r="G332" s="1367" t="s">
        <v>1047</v>
      </c>
      <c r="H332" s="1033"/>
      <c r="I332" s="1033">
        <f>C332</f>
        <v>600</v>
      </c>
      <c r="J332" s="1033"/>
      <c r="K332" s="1448">
        <f>F304/1000</f>
        <v>1E-3</v>
      </c>
      <c r="L332" s="1448"/>
      <c r="M332" s="278">
        <f>K332*I332</f>
        <v>0.6</v>
      </c>
    </row>
    <row r="333" spans="1:13" ht="15.75" thickBot="1">
      <c r="A333" s="1368" t="s">
        <v>1048</v>
      </c>
      <c r="B333" s="1369"/>
      <c r="C333" s="1369">
        <f>J288</f>
        <v>600</v>
      </c>
      <c r="D333" s="1369"/>
      <c r="E333" s="453">
        <f>E305/1000</f>
        <v>3.0000000000000001E-3</v>
      </c>
      <c r="F333" s="274">
        <f>E333*C333</f>
        <v>1.8</v>
      </c>
      <c r="G333" s="1368" t="s">
        <v>1048</v>
      </c>
      <c r="H333" s="1484"/>
      <c r="I333" s="1369">
        <f>C333</f>
        <v>600</v>
      </c>
      <c r="J333" s="1369"/>
      <c r="K333" s="1440">
        <f>F305/1000</f>
        <v>2.9999999999999997E-4</v>
      </c>
      <c r="L333" s="1440"/>
      <c r="M333" s="274">
        <f>K333*I333</f>
        <v>0.18</v>
      </c>
    </row>
    <row r="334" spans="1:13" ht="15.75" thickBot="1">
      <c r="A334" s="200"/>
      <c r="B334" s="200"/>
      <c r="C334" s="200"/>
      <c r="D334" s="454" t="s">
        <v>154</v>
      </c>
      <c r="E334" s="455">
        <f>SUM(E329:E333)</f>
        <v>0.23100000000000001</v>
      </c>
      <c r="F334" s="456" t="s">
        <v>721</v>
      </c>
      <c r="G334" s="200"/>
      <c r="H334" s="200"/>
      <c r="I334" s="200"/>
      <c r="J334" s="454" t="s">
        <v>154</v>
      </c>
      <c r="K334" s="1360">
        <f>SUM(K329:L333)</f>
        <v>2.3100000000000002E-2</v>
      </c>
      <c r="L334" s="1360"/>
      <c r="M334" s="456" t="s">
        <v>721</v>
      </c>
    </row>
    <row r="335" spans="1:13">
      <c r="A335" s="200"/>
      <c r="E335" s="457"/>
      <c r="F335" s="373"/>
      <c r="G335" s="200"/>
      <c r="H335" s="200"/>
      <c r="I335" s="200"/>
      <c r="J335" s="373"/>
      <c r="K335" s="458"/>
      <c r="L335" s="458"/>
      <c r="M335" s="373"/>
    </row>
    <row r="336" spans="1:13">
      <c r="A336" s="1272" t="s">
        <v>441</v>
      </c>
      <c r="B336" s="1273"/>
      <c r="C336" s="1273"/>
      <c r="D336" s="910" t="s">
        <v>683</v>
      </c>
      <c r="E336" s="457"/>
      <c r="F336" s="1272" t="s">
        <v>682</v>
      </c>
      <c r="G336" s="1273"/>
      <c r="H336" s="1271"/>
      <c r="K336" s="458"/>
      <c r="L336" s="458"/>
      <c r="M336" s="373"/>
    </row>
    <row r="337" spans="1:19">
      <c r="A337" s="965" t="s">
        <v>674</v>
      </c>
      <c r="B337" s="966"/>
      <c r="C337" s="911" t="s">
        <v>253</v>
      </c>
      <c r="D337" s="910" t="s">
        <v>384</v>
      </c>
      <c r="E337" s="457"/>
      <c r="F337" s="448" t="s">
        <v>436</v>
      </c>
      <c r="G337" s="448">
        <v>20</v>
      </c>
      <c r="H337" s="459">
        <f>E334</f>
        <v>0.23100000000000001</v>
      </c>
      <c r="K337" s="458"/>
      <c r="L337" s="458"/>
      <c r="M337" s="373"/>
    </row>
    <row r="338" spans="1:19">
      <c r="A338" s="460" t="s">
        <v>675</v>
      </c>
      <c r="B338" s="461" t="s">
        <v>676</v>
      </c>
      <c r="C338" s="364">
        <v>650</v>
      </c>
      <c r="D338" s="448">
        <v>1</v>
      </c>
      <c r="E338" s="457"/>
      <c r="F338" s="448" t="s">
        <v>437</v>
      </c>
      <c r="G338" s="448">
        <v>10</v>
      </c>
      <c r="H338" s="459">
        <f>K334</f>
        <v>2.3100000000000002E-2</v>
      </c>
      <c r="K338" s="458"/>
      <c r="L338" s="458"/>
      <c r="M338" s="373"/>
    </row>
    <row r="339" spans="1:19">
      <c r="A339" s="460" t="s">
        <v>677</v>
      </c>
      <c r="B339" s="461" t="s">
        <v>678</v>
      </c>
      <c r="C339" s="364">
        <v>750</v>
      </c>
      <c r="D339" s="448">
        <v>0.5</v>
      </c>
      <c r="E339" s="457"/>
      <c r="F339" s="363" t="s">
        <v>1049</v>
      </c>
      <c r="G339" s="874">
        <f>G337*H337+G338*H338</f>
        <v>4.851</v>
      </c>
      <c r="H339" s="874" t="s">
        <v>681</v>
      </c>
      <c r="K339" s="458"/>
      <c r="L339" s="458"/>
      <c r="M339" s="373"/>
    </row>
    <row r="340" spans="1:19">
      <c r="A340" s="463" t="s">
        <v>679</v>
      </c>
      <c r="B340" s="464" t="s">
        <v>680</v>
      </c>
      <c r="C340" s="365">
        <v>1000</v>
      </c>
      <c r="D340" s="448">
        <f>G339-D338-D339</f>
        <v>3.351</v>
      </c>
      <c r="E340" s="457"/>
      <c r="F340" s="373"/>
      <c r="G340" s="200"/>
      <c r="H340" s="200"/>
      <c r="I340" s="200"/>
      <c r="J340" s="373"/>
      <c r="K340" s="458"/>
      <c r="L340" s="458"/>
      <c r="M340" s="373"/>
    </row>
    <row r="341" spans="1:19">
      <c r="A341" s="465"/>
      <c r="B341" s="466"/>
      <c r="C341" s="448" t="s">
        <v>684</v>
      </c>
      <c r="D341" s="448">
        <f>SUM(D338:D340)</f>
        <v>4.851</v>
      </c>
      <c r="E341" s="457"/>
      <c r="F341" s="373"/>
      <c r="G341" s="200"/>
      <c r="H341" s="200"/>
      <c r="I341" s="200"/>
      <c r="J341" s="373"/>
      <c r="K341" s="458"/>
      <c r="L341" s="458"/>
      <c r="M341" s="373"/>
    </row>
    <row r="342" spans="1:19">
      <c r="A342" s="465"/>
      <c r="B342" s="466"/>
      <c r="C342" s="364"/>
      <c r="E342" s="457"/>
      <c r="F342" s="373"/>
      <c r="G342" s="200"/>
      <c r="H342" s="200"/>
      <c r="I342" s="200"/>
      <c r="J342" s="373"/>
      <c r="K342" s="458"/>
      <c r="L342" s="458"/>
      <c r="M342" s="373"/>
    </row>
    <row r="343" spans="1:19">
      <c r="A343" s="200"/>
      <c r="B343" s="200"/>
      <c r="C343" s="200"/>
      <c r="D343" s="373"/>
      <c r="E343" s="457"/>
      <c r="F343" s="373"/>
      <c r="G343" s="200"/>
      <c r="H343" s="200"/>
      <c r="I343" s="200"/>
      <c r="J343" s="373"/>
      <c r="K343" s="458"/>
      <c r="L343" s="458"/>
      <c r="M343" s="373"/>
    </row>
    <row r="344" spans="1:19">
      <c r="A344" s="1284" t="s">
        <v>442</v>
      </c>
      <c r="B344" s="1285"/>
      <c r="C344" s="1285"/>
      <c r="D344" s="1285"/>
      <c r="E344" s="1371"/>
    </row>
    <row r="345" spans="1:19">
      <c r="A345" s="1358" t="s">
        <v>987</v>
      </c>
      <c r="B345" s="1358"/>
      <c r="C345" s="462" t="s">
        <v>440</v>
      </c>
      <c r="D345" s="467">
        <f>((H337*G337)+(H338*G338))*A286</f>
        <v>4462.92</v>
      </c>
      <c r="E345" s="462" t="s">
        <v>722</v>
      </c>
      <c r="F345" s="1444" t="s">
        <v>1039</v>
      </c>
      <c r="G345" s="1445"/>
      <c r="H345" s="1445"/>
      <c r="I345" s="1445"/>
      <c r="J345" s="1445"/>
      <c r="K345" s="1445"/>
      <c r="L345" s="1445"/>
      <c r="M345" s="1445"/>
    </row>
    <row r="346" spans="1:19" ht="26.25" customHeight="1">
      <c r="A346" s="1359" t="s">
        <v>441</v>
      </c>
      <c r="B346" s="1359"/>
      <c r="C346" s="468" t="s">
        <v>440</v>
      </c>
      <c r="D346" s="469">
        <f>C338*D338+C339*D339+C340*D340</f>
        <v>4376</v>
      </c>
      <c r="E346" s="470" t="s">
        <v>722</v>
      </c>
      <c r="F346" s="1445"/>
      <c r="G346" s="1445"/>
      <c r="H346" s="1445"/>
      <c r="I346" s="1445"/>
      <c r="J346" s="1445"/>
      <c r="K346" s="1445"/>
      <c r="L346" s="1445"/>
      <c r="M346" s="1445"/>
      <c r="N346" s="471"/>
      <c r="O346" s="471"/>
      <c r="P346" s="471"/>
      <c r="Q346" s="471"/>
      <c r="R346" s="471"/>
      <c r="S346" s="471"/>
    </row>
    <row r="347" spans="1:19">
      <c r="A347" s="1358" t="s">
        <v>1052</v>
      </c>
      <c r="B347" s="1358"/>
      <c r="C347" s="462" t="s">
        <v>440</v>
      </c>
      <c r="D347" s="467">
        <f>(SUM(F329:F333)*20)+(SUM(M329:M333)*10)</f>
        <v>3876.6000000000004</v>
      </c>
      <c r="E347" s="462" t="s">
        <v>722</v>
      </c>
      <c r="F347" s="1356" t="s">
        <v>1051</v>
      </c>
      <c r="G347" s="1357"/>
      <c r="H347" s="1357"/>
      <c r="I347" s="1357"/>
      <c r="J347" s="1357"/>
      <c r="K347" s="1357"/>
      <c r="L347" s="1357"/>
    </row>
    <row r="349" spans="1:19">
      <c r="A349" s="1274" t="s">
        <v>443</v>
      </c>
      <c r="B349" s="1274"/>
      <c r="C349" s="211">
        <v>2000</v>
      </c>
      <c r="D349" s="961" t="s">
        <v>77</v>
      </c>
      <c r="F349" s="49" t="s">
        <v>445</v>
      </c>
      <c r="H349" s="211">
        <f>C349*20</f>
        <v>40000</v>
      </c>
      <c r="I349" s="961" t="s">
        <v>77</v>
      </c>
    </row>
    <row r="350" spans="1:19">
      <c r="A350" s="49" t="s">
        <v>444</v>
      </c>
    </row>
    <row r="352" spans="1:19">
      <c r="A352" s="1443" t="s">
        <v>723</v>
      </c>
      <c r="B352" s="1131"/>
      <c r="C352" s="1131"/>
      <c r="D352" s="1131"/>
      <c r="E352" s="1131"/>
      <c r="F352" s="1131"/>
      <c r="G352" s="1131"/>
    </row>
    <row r="353" spans="1:7">
      <c r="A353" s="969"/>
      <c r="B353" s="426"/>
      <c r="C353" s="1272" t="s">
        <v>446</v>
      </c>
      <c r="D353" s="1272"/>
      <c r="E353" s="1272" t="s">
        <v>447</v>
      </c>
      <c r="F353" s="1272"/>
      <c r="G353" s="149"/>
    </row>
    <row r="354" spans="1:7">
      <c r="A354" s="1454" t="s">
        <v>421</v>
      </c>
      <c r="B354" s="1131"/>
      <c r="C354" s="1446">
        <f>C294*E294</f>
        <v>5000</v>
      </c>
      <c r="D354" s="1446"/>
      <c r="E354" s="1446">
        <f>G294*I294</f>
        <v>1500</v>
      </c>
      <c r="F354" s="1446"/>
      <c r="G354" s="472"/>
    </row>
    <row r="355" spans="1:7">
      <c r="A355" s="1131" t="s">
        <v>422</v>
      </c>
      <c r="B355" s="1131"/>
      <c r="C355" s="1446">
        <f>C295*E295</f>
        <v>1200</v>
      </c>
      <c r="D355" s="1446"/>
      <c r="E355" s="1446">
        <f>G295*I295</f>
        <v>1600</v>
      </c>
      <c r="F355" s="1446"/>
      <c r="G355" s="472"/>
    </row>
    <row r="356" spans="1:7">
      <c r="A356" s="1131" t="s">
        <v>423</v>
      </c>
      <c r="B356" s="1131"/>
      <c r="C356" s="1446">
        <f>C296*E296</f>
        <v>2000</v>
      </c>
      <c r="D356" s="1446"/>
      <c r="E356" s="1446">
        <f>G296*I296</f>
        <v>0</v>
      </c>
      <c r="F356" s="1446"/>
      <c r="G356" s="472"/>
    </row>
    <row r="357" spans="1:7">
      <c r="A357" s="1131" t="s">
        <v>424</v>
      </c>
      <c r="B357" s="1131"/>
      <c r="C357" s="1446">
        <f>C297*E297</f>
        <v>1500</v>
      </c>
      <c r="D357" s="1446"/>
      <c r="E357" s="1446">
        <f>G297*I297</f>
        <v>300</v>
      </c>
      <c r="F357" s="1446"/>
      <c r="G357" s="472"/>
    </row>
    <row r="358" spans="1:7">
      <c r="A358" s="1272" t="s">
        <v>154</v>
      </c>
      <c r="B358" s="1271"/>
      <c r="C358" s="1441">
        <f>SUM(C354:D357)</f>
        <v>9700</v>
      </c>
      <c r="D358" s="1442"/>
      <c r="E358" s="1441">
        <f>SUM(E354:F357)</f>
        <v>3400</v>
      </c>
      <c r="F358" s="1441"/>
      <c r="G358" s="473">
        <f>SUM(C358:F358)</f>
        <v>13100</v>
      </c>
    </row>
    <row r="360" spans="1:7">
      <c r="A360" s="1372" t="s">
        <v>448</v>
      </c>
      <c r="B360" s="1372"/>
      <c r="C360" s="1372"/>
      <c r="D360" s="1370" t="s">
        <v>1057</v>
      </c>
      <c r="E360" s="1371"/>
    </row>
    <row r="361" spans="1:7">
      <c r="A361" s="1453" t="s">
        <v>1053</v>
      </c>
      <c r="B361" s="1373"/>
      <c r="C361" s="474">
        <f>$G$358+D345</f>
        <v>17562.919999999998</v>
      </c>
      <c r="D361" s="475">
        <f>C361/$H$349</f>
        <v>0.43907299999999994</v>
      </c>
      <c r="E361" s="462" t="s">
        <v>722</v>
      </c>
    </row>
    <row r="362" spans="1:7">
      <c r="A362" s="1451" t="s">
        <v>1054</v>
      </c>
      <c r="B362" s="1452"/>
      <c r="C362" s="474">
        <f>$G$358+D346</f>
        <v>17476</v>
      </c>
      <c r="D362" s="475">
        <f>C362/$H$349</f>
        <v>0.43690000000000001</v>
      </c>
      <c r="E362" s="462" t="s">
        <v>722</v>
      </c>
    </row>
    <row r="363" spans="1:7">
      <c r="A363" s="1453" t="s">
        <v>1055</v>
      </c>
      <c r="B363" s="1373"/>
      <c r="C363" s="474">
        <f>$G$358+D347</f>
        <v>16976.599999999999</v>
      </c>
      <c r="D363" s="475">
        <f>C363/$H$349</f>
        <v>0.42441499999999999</v>
      </c>
      <c r="E363" s="462" t="s">
        <v>722</v>
      </c>
      <c r="F363" s="527" t="s">
        <v>1056</v>
      </c>
    </row>
    <row r="369" spans="1:11" ht="18">
      <c r="A369" s="1373" t="s">
        <v>451</v>
      </c>
      <c r="B369" s="1373"/>
      <c r="C369" s="448" t="s">
        <v>724</v>
      </c>
      <c r="D369" s="476">
        <v>0.45</v>
      </c>
      <c r="E369" s="448" t="s">
        <v>725</v>
      </c>
      <c r="F369" s="475">
        <f>(E330+E331+K330+K331)/6</f>
        <v>2.1083333333333332E-2</v>
      </c>
      <c r="G369" s="149" t="s">
        <v>382</v>
      </c>
      <c r="H369" s="448" t="s">
        <v>726</v>
      </c>
      <c r="I369" s="448">
        <f>6*30</f>
        <v>180</v>
      </c>
    </row>
    <row r="370" spans="1:11" ht="18">
      <c r="A370" s="1373" t="s">
        <v>450</v>
      </c>
      <c r="B370" s="1373"/>
      <c r="C370" s="448" t="s">
        <v>727</v>
      </c>
      <c r="D370" s="476">
        <v>0.8</v>
      </c>
      <c r="E370" s="448" t="s">
        <v>728</v>
      </c>
      <c r="F370" s="475">
        <f>(E329+E332+E333+K329+K332+K333)/18</f>
        <v>7.0888888888888885E-3</v>
      </c>
      <c r="G370" s="149" t="s">
        <v>382</v>
      </c>
      <c r="H370" s="448" t="s">
        <v>729</v>
      </c>
      <c r="I370" s="448">
        <f>18*30</f>
        <v>540</v>
      </c>
    </row>
    <row r="371" spans="1:11" ht="15.75" thickBot="1"/>
    <row r="372" spans="1:11">
      <c r="A372" s="1316" t="s">
        <v>441</v>
      </c>
      <c r="B372" s="1317"/>
      <c r="C372" s="477" t="s">
        <v>449</v>
      </c>
      <c r="D372" s="478">
        <f>F286/(D370*(8760/720))+F287</f>
        <v>816.78082191780823</v>
      </c>
      <c r="E372" s="479" t="s">
        <v>253</v>
      </c>
      <c r="F372" s="95"/>
      <c r="G372" s="95"/>
      <c r="H372" s="95"/>
      <c r="I372" s="95"/>
      <c r="J372" s="95"/>
      <c r="K372" s="95"/>
    </row>
    <row r="373" spans="1:11" ht="15.75" thickBot="1">
      <c r="A373" s="1318" t="s">
        <v>1052</v>
      </c>
      <c r="B373" s="1319"/>
      <c r="C373" s="480" t="s">
        <v>449</v>
      </c>
      <c r="D373" s="481">
        <f>(((F369/F370)*((J287/I369)+(J287*D370)))+(J286/I369)+(J286*D369*(I370/I369)))/(((F369/F370)*D370)+(D369*(I370/I369)))</f>
        <v>860.52550470026188</v>
      </c>
      <c r="E373" s="482" t="s">
        <v>253</v>
      </c>
      <c r="F373" s="95"/>
      <c r="G373" s="95"/>
      <c r="H373" s="95"/>
      <c r="I373" s="95"/>
      <c r="J373" s="95"/>
      <c r="K373" s="95"/>
    </row>
    <row r="374" spans="1:11">
      <c r="A374" s="87"/>
      <c r="B374" s="87"/>
      <c r="C374" s="87"/>
      <c r="D374" s="87"/>
      <c r="E374" s="87"/>
      <c r="F374" s="87"/>
      <c r="G374" s="87"/>
      <c r="H374" s="87"/>
      <c r="I374" s="87"/>
      <c r="J374" s="87"/>
      <c r="K374" s="87"/>
    </row>
    <row r="375" spans="1:11" ht="15" customHeight="1">
      <c r="A375" s="1099" t="s">
        <v>1058</v>
      </c>
      <c r="B375" s="1100"/>
      <c r="C375" s="1100"/>
      <c r="D375" s="1100"/>
      <c r="E375" s="1100"/>
      <c r="F375" s="1100"/>
      <c r="G375" s="1100"/>
      <c r="H375" s="1100"/>
      <c r="I375" s="1100"/>
      <c r="J375" s="1100"/>
      <c r="K375" s="1100"/>
    </row>
    <row r="376" spans="1:11">
      <c r="A376" s="1101"/>
      <c r="B376" s="1101"/>
      <c r="C376" s="1101"/>
      <c r="D376" s="1101"/>
      <c r="E376" s="1101"/>
      <c r="F376" s="1101"/>
      <c r="G376" s="1101"/>
      <c r="H376" s="1101"/>
      <c r="I376" s="1101"/>
      <c r="J376" s="1101"/>
      <c r="K376" s="1101"/>
    </row>
    <row r="377" spans="1:11">
      <c r="A377" s="1101"/>
      <c r="B377" s="1101"/>
      <c r="C377" s="1101"/>
      <c r="D377" s="1101"/>
      <c r="E377" s="1101"/>
      <c r="F377" s="1101"/>
      <c r="G377" s="1101"/>
      <c r="H377" s="1101"/>
      <c r="I377" s="1101"/>
      <c r="J377" s="1101"/>
      <c r="K377" s="1101"/>
    </row>
    <row r="378" spans="1:11">
      <c r="A378" s="1101"/>
      <c r="B378" s="1101"/>
      <c r="C378" s="1101"/>
      <c r="D378" s="1101"/>
      <c r="E378" s="1101"/>
      <c r="F378" s="1101"/>
      <c r="G378" s="1101"/>
      <c r="H378" s="1101"/>
      <c r="I378" s="1101"/>
      <c r="J378" s="1101"/>
      <c r="K378" s="1101"/>
    </row>
    <row r="379" spans="1:11">
      <c r="A379" s="1101"/>
      <c r="B379" s="1101"/>
      <c r="C379" s="1101"/>
      <c r="D379" s="1101"/>
      <c r="E379" s="1101"/>
      <c r="F379" s="1101"/>
      <c r="G379" s="1101"/>
      <c r="H379" s="1101"/>
      <c r="I379" s="1101"/>
      <c r="J379" s="1101"/>
      <c r="K379" s="1101"/>
    </row>
    <row r="380" spans="1:11">
      <c r="A380" s="1101"/>
      <c r="B380" s="1101"/>
      <c r="C380" s="1101"/>
      <c r="D380" s="1101"/>
      <c r="E380" s="1101"/>
      <c r="F380" s="1101"/>
      <c r="G380" s="1101"/>
      <c r="H380" s="1101"/>
      <c r="I380" s="1101"/>
      <c r="J380" s="1101"/>
      <c r="K380" s="1101"/>
    </row>
    <row r="381" spans="1:11">
      <c r="A381" s="1101"/>
      <c r="B381" s="1101"/>
      <c r="C381" s="1101"/>
      <c r="D381" s="1101"/>
      <c r="E381" s="1101"/>
      <c r="F381" s="1101"/>
      <c r="G381" s="1101"/>
      <c r="H381" s="1101"/>
      <c r="I381" s="1101"/>
      <c r="J381" s="1101"/>
      <c r="K381" s="1101"/>
    </row>
    <row r="382" spans="1:11">
      <c r="A382" s="1101"/>
      <c r="B382" s="1101"/>
      <c r="C382" s="1101"/>
      <c r="D382" s="1101"/>
      <c r="E382" s="1101"/>
      <c r="F382" s="1101"/>
      <c r="G382" s="1101"/>
      <c r="H382" s="1101"/>
      <c r="I382" s="1101"/>
      <c r="J382" s="1101"/>
      <c r="K382" s="1101"/>
    </row>
    <row r="384" spans="1:11" ht="18">
      <c r="A384" s="1399" t="s">
        <v>1059</v>
      </c>
      <c r="B384" s="1274"/>
      <c r="C384" s="224">
        <v>0.2</v>
      </c>
      <c r="E384" s="367" t="s">
        <v>459</v>
      </c>
      <c r="F384" s="367">
        <v>0.54</v>
      </c>
    </row>
    <row r="385" spans="1:5" ht="18">
      <c r="A385" s="1399" t="s">
        <v>1060</v>
      </c>
      <c r="B385" s="1274"/>
      <c r="C385" s="224">
        <v>0.04</v>
      </c>
    </row>
    <row r="386" spans="1:5">
      <c r="A386" s="1399" t="s">
        <v>1061</v>
      </c>
      <c r="B386" s="1274"/>
      <c r="C386" s="224">
        <f>C384-C385</f>
        <v>0.16</v>
      </c>
    </row>
    <row r="388" spans="1:5" ht="18">
      <c r="A388" s="49" t="s">
        <v>730</v>
      </c>
    </row>
    <row r="389" spans="1:5" ht="15.75" thickBot="1"/>
    <row r="390" spans="1:5" ht="18.75" thickBot="1">
      <c r="B390" s="82" t="s">
        <v>731</v>
      </c>
      <c r="C390" s="483">
        <f>(C384-C385)*3/2</f>
        <v>0.24</v>
      </c>
    </row>
    <row r="393" spans="1:5">
      <c r="A393" s="49" t="s">
        <v>452</v>
      </c>
    </row>
    <row r="395" spans="1:5">
      <c r="A395" s="49" t="s">
        <v>454</v>
      </c>
      <c r="B395" s="49">
        <v>0.9</v>
      </c>
    </row>
    <row r="396" spans="1:5" ht="18.75" thickBot="1">
      <c r="A396" s="49" t="s">
        <v>732</v>
      </c>
      <c r="B396" s="49">
        <v>0.9</v>
      </c>
    </row>
    <row r="397" spans="1:5" ht="15.75" thickBot="1">
      <c r="A397" s="13" t="s">
        <v>455</v>
      </c>
      <c r="B397" s="49">
        <f>230-160</f>
        <v>70</v>
      </c>
      <c r="C397" s="49" t="s">
        <v>457</v>
      </c>
      <c r="D397" s="82" t="s">
        <v>453</v>
      </c>
      <c r="E397" s="484">
        <f>C390*B395*B398/B397/B396</f>
        <v>0.78857142857142859</v>
      </c>
    </row>
    <row r="398" spans="1:5">
      <c r="A398" s="13" t="s">
        <v>456</v>
      </c>
      <c r="B398" s="49">
        <v>230</v>
      </c>
      <c r="C398" s="49" t="s">
        <v>457</v>
      </c>
    </row>
    <row r="401" spans="1:7">
      <c r="A401" s="527" t="s">
        <v>1062</v>
      </c>
    </row>
    <row r="403" spans="1:7" ht="15.75" thickBot="1">
      <c r="A403" s="49" t="s">
        <v>454</v>
      </c>
      <c r="B403" s="367">
        <v>0.95</v>
      </c>
    </row>
    <row r="404" spans="1:7" ht="18.75" thickBot="1">
      <c r="A404" s="49" t="s">
        <v>732</v>
      </c>
      <c r="B404" s="367">
        <v>0.85</v>
      </c>
      <c r="D404" s="108" t="s">
        <v>733</v>
      </c>
      <c r="E404" s="446">
        <f>(E397*B404*B405)/B403</f>
        <v>8.4667669172932322E-2</v>
      </c>
      <c r="F404" s="485" t="s">
        <v>7</v>
      </c>
      <c r="G404" s="486">
        <f>E404</f>
        <v>8.4667669172932322E-2</v>
      </c>
    </row>
    <row r="405" spans="1:7">
      <c r="A405" s="13" t="s">
        <v>458</v>
      </c>
      <c r="B405" s="224">
        <v>0.12</v>
      </c>
    </row>
    <row r="406" spans="1:7" ht="15.75" thickBot="1">
      <c r="A406" s="13"/>
    </row>
    <row r="407" spans="1:7" ht="15.75" thickBot="1">
      <c r="A407" s="1480" t="s">
        <v>1063</v>
      </c>
      <c r="B407" s="1481"/>
      <c r="C407" s="1481"/>
      <c r="D407" s="1481"/>
      <c r="E407" s="1481"/>
      <c r="F407" s="487">
        <f>G404*2/3</f>
        <v>5.6445112781954881E-2</v>
      </c>
    </row>
    <row r="409" spans="1:7">
      <c r="A409" s="49" t="s">
        <v>5</v>
      </c>
    </row>
    <row r="411" spans="1:7" ht="15.75" thickBot="1"/>
    <row r="412" spans="1:7" ht="18.75" thickBot="1">
      <c r="B412" s="82" t="s">
        <v>734</v>
      </c>
      <c r="C412" s="488" t="s">
        <v>735</v>
      </c>
      <c r="D412" s="447">
        <f>C385*F384</f>
        <v>2.1600000000000001E-2</v>
      </c>
    </row>
    <row r="414" spans="1:7">
      <c r="A414" s="527" t="s">
        <v>1064</v>
      </c>
    </row>
    <row r="416" spans="1:7">
      <c r="A416" s="49" t="s">
        <v>460</v>
      </c>
      <c r="B416" s="367">
        <v>0.72</v>
      </c>
    </row>
    <row r="417" spans="1:11" ht="15.75" thickBot="1"/>
    <row r="418" spans="1:11" ht="15.75" thickBot="1">
      <c r="A418" s="1482" t="s">
        <v>1065</v>
      </c>
      <c r="B418" s="1479"/>
      <c r="C418" s="489">
        <f>D412/B416</f>
        <v>3.0000000000000002E-2</v>
      </c>
    </row>
    <row r="419" spans="1:11" ht="15.75" thickBot="1"/>
    <row r="420" spans="1:11" ht="18.75" thickBot="1">
      <c r="A420" s="1483" t="s">
        <v>1066</v>
      </c>
      <c r="B420" s="1479"/>
      <c r="C420" s="490">
        <f>C418+F407</f>
        <v>8.644511278195488E-2</v>
      </c>
      <c r="D420" s="95" t="s">
        <v>461</v>
      </c>
      <c r="E420" s="95"/>
      <c r="F420" s="95"/>
      <c r="G420" s="95"/>
      <c r="H420" s="95"/>
      <c r="I420" s="95"/>
      <c r="J420" s="95"/>
      <c r="K420" s="95"/>
    </row>
    <row r="421" spans="1:11">
      <c r="A421" s="491"/>
      <c r="B421" s="491"/>
      <c r="C421" s="492"/>
      <c r="D421" s="95"/>
      <c r="E421" s="95"/>
      <c r="F421" s="95"/>
      <c r="G421" s="95"/>
      <c r="H421" s="95"/>
      <c r="I421" s="95"/>
      <c r="J421" s="95"/>
      <c r="K421" s="95"/>
    </row>
    <row r="422" spans="1:11">
      <c r="A422" s="1430" t="s">
        <v>1067</v>
      </c>
      <c r="B422" s="1123"/>
      <c r="C422" s="1123"/>
      <c r="D422" s="1123"/>
      <c r="E422" s="1123"/>
      <c r="F422" s="1123"/>
      <c r="G422" s="1123"/>
      <c r="H422" s="1123"/>
      <c r="I422" s="1123"/>
      <c r="J422" s="1123"/>
      <c r="K422" s="1123"/>
    </row>
    <row r="423" spans="1:11">
      <c r="A423" s="1159"/>
      <c r="B423" s="1159"/>
      <c r="C423" s="1159"/>
      <c r="D423" s="1159"/>
      <c r="E423" s="1159"/>
      <c r="F423" s="1159"/>
      <c r="G423" s="1159"/>
      <c r="H423" s="1159"/>
      <c r="I423" s="1159"/>
      <c r="J423" s="1159"/>
      <c r="K423" s="1159"/>
    </row>
    <row r="425" spans="1:11">
      <c r="B425" s="362" t="s">
        <v>463</v>
      </c>
      <c r="C425" s="372">
        <v>7.0000000000000007E-2</v>
      </c>
      <c r="E425" s="362" t="s">
        <v>1068</v>
      </c>
      <c r="F425" s="372">
        <v>10</v>
      </c>
      <c r="H425" s="200" t="s">
        <v>466</v>
      </c>
      <c r="I425" s="372">
        <v>0.54</v>
      </c>
    </row>
    <row r="426" spans="1:11">
      <c r="B426" s="362" t="s">
        <v>464</v>
      </c>
      <c r="C426" s="368">
        <v>1000000</v>
      </c>
      <c r="E426" s="362" t="s">
        <v>685</v>
      </c>
      <c r="F426" s="372">
        <v>8760</v>
      </c>
      <c r="H426" s="200" t="s">
        <v>467</v>
      </c>
      <c r="I426" s="372">
        <v>0.72</v>
      </c>
    </row>
    <row r="428" spans="1:11">
      <c r="A428" s="49" t="s">
        <v>462</v>
      </c>
    </row>
    <row r="429" spans="1:11">
      <c r="A429" s="1274" t="s">
        <v>465</v>
      </c>
      <c r="B429" s="1274"/>
      <c r="C429" s="143">
        <f>C426*C425</f>
        <v>70000</v>
      </c>
    </row>
    <row r="431" spans="1:11">
      <c r="A431" s="198" t="s">
        <v>1069</v>
      </c>
      <c r="F431" s="106">
        <f>F425*F426*I425/1000*(1-C384)</f>
        <v>37.843200000000003</v>
      </c>
      <c r="G431" s="49" t="s">
        <v>405</v>
      </c>
    </row>
    <row r="432" spans="1:11">
      <c r="A432" s="49" t="s">
        <v>1070</v>
      </c>
      <c r="F432" s="106">
        <f>F425*F426*I426/1000*(1-C420)</f>
        <v>57.619733846616548</v>
      </c>
      <c r="G432" s="49" t="s">
        <v>405</v>
      </c>
    </row>
    <row r="433" spans="1:11">
      <c r="E433" s="49" t="s">
        <v>468</v>
      </c>
      <c r="F433" s="106">
        <f>F432-F431</f>
        <v>19.776533846616545</v>
      </c>
      <c r="G433" s="49" t="s">
        <v>405</v>
      </c>
    </row>
    <row r="435" spans="1:11">
      <c r="A435" s="1115" t="s">
        <v>1071</v>
      </c>
      <c r="B435" s="1115"/>
      <c r="C435" s="1115"/>
      <c r="D435" s="1115"/>
      <c r="E435" s="1115"/>
      <c r="F435" s="1115"/>
      <c r="G435" s="1115"/>
      <c r="H435" s="1115"/>
      <c r="I435" s="1115"/>
      <c r="J435" s="1115"/>
      <c r="K435" s="1115"/>
    </row>
    <row r="436" spans="1:11">
      <c r="A436" s="1115"/>
      <c r="B436" s="1115"/>
      <c r="C436" s="1115"/>
      <c r="D436" s="1115"/>
      <c r="E436" s="1115"/>
      <c r="F436" s="1115"/>
      <c r="G436" s="1115"/>
      <c r="H436" s="1115"/>
      <c r="I436" s="1115"/>
      <c r="J436" s="1115"/>
      <c r="K436" s="1115"/>
    </row>
    <row r="437" spans="1:11" ht="15.75" thickBot="1"/>
    <row r="438" spans="1:11" ht="15.75" thickBot="1">
      <c r="A438" s="1478" t="s">
        <v>1072</v>
      </c>
      <c r="B438" s="1479"/>
      <c r="C438" s="1479"/>
      <c r="D438" s="493">
        <f>C429/(F433*10^6)</f>
        <v>3.5395484639982001E-3</v>
      </c>
      <c r="E438" s="447" t="s">
        <v>116</v>
      </c>
    </row>
    <row r="440" spans="1:11">
      <c r="A440" s="1115" t="s">
        <v>1073</v>
      </c>
      <c r="B440" s="1115"/>
      <c r="C440" s="1115"/>
      <c r="D440" s="1115"/>
      <c r="E440" s="1115"/>
      <c r="F440" s="1115"/>
      <c r="G440" s="1115"/>
      <c r="H440" s="1115"/>
      <c r="I440" s="1115"/>
      <c r="J440" s="1115"/>
      <c r="K440" s="1115"/>
    </row>
    <row r="441" spans="1:11">
      <c r="A441" s="1115"/>
      <c r="B441" s="1115"/>
      <c r="C441" s="1115"/>
      <c r="D441" s="1115"/>
      <c r="E441" s="1115"/>
      <c r="F441" s="1115"/>
      <c r="G441" s="1115"/>
      <c r="H441" s="1115"/>
      <c r="I441" s="1115"/>
      <c r="J441" s="1115"/>
      <c r="K441" s="1115"/>
    </row>
    <row r="443" spans="1:11">
      <c r="A443" s="49" t="s">
        <v>1070</v>
      </c>
      <c r="F443" s="106">
        <f>F432</f>
        <v>57.619733846616548</v>
      </c>
      <c r="G443" s="49" t="s">
        <v>405</v>
      </c>
    </row>
    <row r="445" spans="1:11">
      <c r="A445" s="49" t="s">
        <v>469</v>
      </c>
      <c r="I445" s="106">
        <f>(F425*F426*I426/1000)*(1-C384)</f>
        <v>50.457600000000006</v>
      </c>
      <c r="J445" s="49" t="s">
        <v>405</v>
      </c>
    </row>
    <row r="447" spans="1:11">
      <c r="F447" s="49" t="s">
        <v>468</v>
      </c>
      <c r="G447" s="106">
        <f>F443-I445</f>
        <v>7.1621338466165412</v>
      </c>
      <c r="H447" s="49" t="s">
        <v>405</v>
      </c>
    </row>
    <row r="449" spans="1:11">
      <c r="A449" s="1115" t="s">
        <v>1074</v>
      </c>
      <c r="B449" s="1115"/>
      <c r="C449" s="1115"/>
      <c r="D449" s="1115"/>
      <c r="E449" s="1115"/>
      <c r="F449" s="1115"/>
      <c r="G449" s="1115"/>
      <c r="H449" s="1115"/>
      <c r="I449" s="1115"/>
      <c r="J449" s="1115"/>
      <c r="K449" s="1115"/>
    </row>
    <row r="450" spans="1:11">
      <c r="A450" s="1115"/>
      <c r="B450" s="1115"/>
      <c r="C450" s="1115"/>
      <c r="D450" s="1115"/>
      <c r="E450" s="1115"/>
      <c r="F450" s="1115"/>
      <c r="G450" s="1115"/>
      <c r="H450" s="1115"/>
      <c r="I450" s="1115"/>
      <c r="J450" s="1115"/>
      <c r="K450" s="1115"/>
    </row>
    <row r="451" spans="1:11" ht="15.75" thickBot="1"/>
    <row r="452" spans="1:11" ht="15.75" thickBot="1">
      <c r="A452" s="1478" t="s">
        <v>1072</v>
      </c>
      <c r="B452" s="1479"/>
      <c r="C452" s="1479"/>
      <c r="D452" s="493">
        <f>C429/(G447*10^6)</f>
        <v>9.7736235455957946E-3</v>
      </c>
      <c r="E452" s="447" t="s">
        <v>116</v>
      </c>
    </row>
    <row r="453" spans="1:11">
      <c r="A453" s="87"/>
      <c r="B453" s="87"/>
      <c r="C453" s="87"/>
      <c r="D453" s="87"/>
      <c r="E453" s="87"/>
      <c r="F453" s="87"/>
      <c r="G453" s="87"/>
      <c r="H453" s="87"/>
      <c r="I453" s="87"/>
      <c r="J453" s="87"/>
      <c r="K453" s="87"/>
    </row>
    <row r="454" spans="1:11" ht="18">
      <c r="A454" s="915" t="s">
        <v>1075</v>
      </c>
      <c r="B454" s="80"/>
      <c r="C454" s="80"/>
      <c r="D454" s="80"/>
      <c r="E454" s="80"/>
      <c r="F454" s="80"/>
      <c r="G454" s="80"/>
      <c r="H454" s="80"/>
      <c r="I454" s="80"/>
      <c r="J454" s="80"/>
      <c r="K454" s="80"/>
    </row>
    <row r="455" spans="1:11">
      <c r="A455" s="1162" t="s">
        <v>1076</v>
      </c>
      <c r="B455" s="1159"/>
      <c r="C455" s="1159"/>
      <c r="D455" s="1159"/>
      <c r="E455" s="1159"/>
      <c r="F455" s="1159"/>
      <c r="G455" s="1159"/>
      <c r="H455" s="1159"/>
      <c r="I455" s="1159"/>
      <c r="J455" s="1159"/>
      <c r="K455" s="1159"/>
    </row>
    <row r="456" spans="1:11">
      <c r="A456" s="1159"/>
      <c r="B456" s="1159"/>
      <c r="C456" s="1159"/>
      <c r="D456" s="1159"/>
      <c r="E456" s="1159"/>
      <c r="F456" s="1159"/>
      <c r="G456" s="1159"/>
      <c r="H456" s="1159"/>
      <c r="I456" s="1159"/>
      <c r="J456" s="1159"/>
      <c r="K456" s="1159"/>
    </row>
    <row r="457" spans="1:11">
      <c r="A457" s="1159"/>
      <c r="B457" s="1159"/>
      <c r="C457" s="1159"/>
      <c r="D457" s="1159"/>
      <c r="E457" s="1159"/>
      <c r="F457" s="1159"/>
      <c r="G457" s="1159"/>
      <c r="H457" s="1159"/>
      <c r="I457" s="1159"/>
      <c r="J457" s="1159"/>
      <c r="K457" s="1159"/>
    </row>
    <row r="458" spans="1:11">
      <c r="A458" s="1159"/>
      <c r="B458" s="1159"/>
      <c r="C458" s="1159"/>
      <c r="D458" s="1159"/>
      <c r="E458" s="1159"/>
      <c r="F458" s="1159"/>
      <c r="G458" s="1159"/>
      <c r="H458" s="1159"/>
      <c r="I458" s="1159"/>
      <c r="J458" s="1159"/>
      <c r="K458" s="1159"/>
    </row>
    <row r="459" spans="1:11">
      <c r="A459" s="80"/>
      <c r="B459" s="538"/>
      <c r="C459" s="538"/>
      <c r="D459" s="538"/>
      <c r="E459" s="538"/>
      <c r="F459" s="538"/>
      <c r="G459" s="538"/>
      <c r="H459" s="538"/>
      <c r="I459" s="80"/>
      <c r="J459" s="80"/>
      <c r="K459" s="80"/>
    </row>
    <row r="460" spans="1:11" ht="15.75" thickBot="1">
      <c r="A460" s="529"/>
      <c r="B460" s="1279" t="s">
        <v>1077</v>
      </c>
      <c r="C460" s="1279"/>
      <c r="D460" s="1279"/>
      <c r="E460" s="1279"/>
      <c r="F460" s="1279"/>
      <c r="G460" s="1279"/>
      <c r="H460" s="529"/>
      <c r="I460" s="538"/>
      <c r="J460" s="538"/>
      <c r="K460" s="538"/>
    </row>
    <row r="461" spans="1:11" ht="18">
      <c r="A461" s="529"/>
      <c r="B461" s="1313" t="s">
        <v>470</v>
      </c>
      <c r="C461" s="1314"/>
      <c r="D461" s="1313" t="s">
        <v>717</v>
      </c>
      <c r="E461" s="1314"/>
      <c r="F461" s="1313" t="s">
        <v>29</v>
      </c>
      <c r="G461" s="1314"/>
      <c r="H461" s="117"/>
      <c r="I461" s="529"/>
      <c r="J461" s="529"/>
      <c r="K461" s="529"/>
    </row>
    <row r="462" spans="1:11" ht="18.75" thickBot="1">
      <c r="A462" s="529"/>
      <c r="B462" s="1337"/>
      <c r="C462" s="1338"/>
      <c r="D462" s="1337" t="s">
        <v>345</v>
      </c>
      <c r="E462" s="1338"/>
      <c r="F462" s="1337" t="s">
        <v>988</v>
      </c>
      <c r="G462" s="1338"/>
      <c r="H462" s="117"/>
      <c r="I462" s="529"/>
      <c r="J462" s="529"/>
      <c r="K462" s="529"/>
    </row>
    <row r="463" spans="1:11">
      <c r="A463" s="529"/>
      <c r="B463" s="1233" t="s">
        <v>471</v>
      </c>
      <c r="C463" s="1234"/>
      <c r="D463" s="1375">
        <v>0.03</v>
      </c>
      <c r="E463" s="1376"/>
      <c r="F463" s="1315">
        <v>11</v>
      </c>
      <c r="G463" s="1055"/>
      <c r="H463" s="529"/>
      <c r="I463" s="529"/>
      <c r="J463" s="529"/>
      <c r="K463" s="529"/>
    </row>
    <row r="464" spans="1:11">
      <c r="A464" s="529"/>
      <c r="B464" s="1233" t="s">
        <v>472</v>
      </c>
      <c r="C464" s="1234"/>
      <c r="D464" s="1308">
        <v>5.5E-2</v>
      </c>
      <c r="E464" s="1309"/>
      <c r="F464" s="1308">
        <v>5</v>
      </c>
      <c r="G464" s="1309"/>
      <c r="H464" s="529"/>
      <c r="I464" s="529"/>
      <c r="J464" s="529"/>
      <c r="K464" s="529"/>
    </row>
    <row r="465" spans="1:11" ht="15.75" thickBot="1">
      <c r="A465" s="529"/>
      <c r="B465" s="1255" t="s">
        <v>396</v>
      </c>
      <c r="C465" s="1238"/>
      <c r="D465" s="1310">
        <v>6.7000000000000004E-2</v>
      </c>
      <c r="E465" s="1056"/>
      <c r="F465" s="1310">
        <v>0</v>
      </c>
      <c r="G465" s="1056"/>
      <c r="H465" s="529"/>
      <c r="I465" s="529"/>
      <c r="J465" s="529"/>
      <c r="K465" s="529"/>
    </row>
    <row r="466" spans="1:11">
      <c r="A466" s="529"/>
      <c r="B466" s="529"/>
      <c r="C466" s="529"/>
      <c r="D466" s="529"/>
      <c r="E466" s="529"/>
      <c r="F466" s="529"/>
      <c r="G466" s="529"/>
      <c r="H466" s="529"/>
      <c r="I466" s="529"/>
      <c r="J466" s="529"/>
      <c r="K466" s="529"/>
    </row>
    <row r="468" spans="1:11" ht="18">
      <c r="A468" s="49" t="s">
        <v>473</v>
      </c>
      <c r="G468" s="49" t="s">
        <v>474</v>
      </c>
      <c r="H468" s="494">
        <f>(D464-D463)*10^6/(F463-F464)</f>
        <v>4166.666666666667</v>
      </c>
      <c r="I468" s="49" t="s">
        <v>736</v>
      </c>
    </row>
    <row r="469" spans="1:11" ht="18">
      <c r="A469" s="49" t="s">
        <v>475</v>
      </c>
      <c r="G469" s="49" t="s">
        <v>474</v>
      </c>
      <c r="H469" s="494">
        <f>(D465-D463)*10^6/(F463-F465)</f>
        <v>3363.6363636363644</v>
      </c>
      <c r="I469" s="49" t="s">
        <v>736</v>
      </c>
    </row>
    <row r="470" spans="1:11" ht="18">
      <c r="A470" s="49" t="s">
        <v>476</v>
      </c>
      <c r="G470" s="49" t="s">
        <v>474</v>
      </c>
      <c r="H470" s="494">
        <f>(D465-D464)*10^6/(F464-F465)</f>
        <v>2400.0000000000009</v>
      </c>
      <c r="I470" s="49" t="s">
        <v>736</v>
      </c>
    </row>
    <row r="472" spans="1:11">
      <c r="A472" s="87"/>
      <c r="B472" s="87"/>
      <c r="C472" s="87"/>
      <c r="D472" s="87"/>
      <c r="E472" s="87"/>
      <c r="F472" s="87"/>
      <c r="G472" s="87"/>
      <c r="H472" s="87"/>
      <c r="I472" s="87"/>
      <c r="J472" s="87"/>
      <c r="K472" s="87"/>
    </row>
    <row r="473" spans="1:11" ht="15" customHeight="1">
      <c r="A473" s="1121" t="s">
        <v>1078</v>
      </c>
      <c r="B473" s="1122"/>
      <c r="C473" s="1122"/>
      <c r="D473" s="1122"/>
      <c r="E473" s="1122"/>
      <c r="F473" s="1122"/>
      <c r="G473" s="1122"/>
      <c r="H473" s="1122"/>
      <c r="I473" s="1122"/>
      <c r="J473" s="1122"/>
      <c r="K473" s="1122"/>
    </row>
    <row r="474" spans="1:11">
      <c r="A474" s="1123"/>
      <c r="B474" s="1123"/>
      <c r="C474" s="1123"/>
      <c r="D474" s="1123"/>
      <c r="E474" s="1123"/>
      <c r="F474" s="1123"/>
      <c r="G474" s="1123"/>
      <c r="H474" s="1123"/>
      <c r="I474" s="1123"/>
      <c r="J474" s="1123"/>
      <c r="K474" s="1123"/>
    </row>
    <row r="475" spans="1:11">
      <c r="A475" s="1123"/>
      <c r="B475" s="1123"/>
      <c r="C475" s="1123"/>
      <c r="D475" s="1123"/>
      <c r="E475" s="1123"/>
      <c r="F475" s="1123"/>
      <c r="G475" s="1123"/>
      <c r="H475" s="1123"/>
      <c r="I475" s="1123"/>
      <c r="J475" s="1123"/>
      <c r="K475" s="1123"/>
    </row>
    <row r="476" spans="1:11">
      <c r="A476" s="1123"/>
      <c r="B476" s="1123"/>
      <c r="C476" s="1123"/>
      <c r="D476" s="1123"/>
      <c r="E476" s="1123"/>
      <c r="F476" s="1123"/>
      <c r="G476" s="1123"/>
      <c r="H476" s="1123"/>
      <c r="I476" s="1123"/>
      <c r="J476" s="1123"/>
      <c r="K476" s="1123"/>
    </row>
    <row r="477" spans="1:11">
      <c r="A477" s="1123"/>
      <c r="B477" s="1123"/>
      <c r="C477" s="1123"/>
      <c r="D477" s="1123"/>
      <c r="E477" s="1123"/>
      <c r="F477" s="1123"/>
      <c r="G477" s="1123"/>
      <c r="H477" s="1123"/>
      <c r="I477" s="1123"/>
      <c r="J477" s="1123"/>
      <c r="K477" s="1123"/>
    </row>
    <row r="478" spans="1:11">
      <c r="A478" s="64"/>
      <c r="B478" s="64"/>
      <c r="C478" s="64"/>
      <c r="D478" s="64"/>
      <c r="E478" s="64"/>
      <c r="F478" s="64"/>
      <c r="G478" s="64"/>
      <c r="H478" s="64"/>
      <c r="I478" s="64"/>
      <c r="J478" s="64"/>
      <c r="K478" s="64"/>
    </row>
    <row r="479" spans="1:11">
      <c r="A479" s="538" t="s">
        <v>989</v>
      </c>
      <c r="B479" s="80"/>
      <c r="C479" s="80"/>
      <c r="D479" s="80"/>
      <c r="E479" s="80"/>
      <c r="F479" s="80"/>
      <c r="G479" s="80"/>
      <c r="H479" s="80"/>
      <c r="I479" s="80"/>
      <c r="J479" s="80"/>
      <c r="K479" s="80"/>
    </row>
    <row r="480" spans="1:11" ht="15.75" thickBot="1">
      <c r="A480" s="529"/>
      <c r="B480" s="529"/>
      <c r="C480" s="529"/>
      <c r="D480" s="529"/>
      <c r="E480" s="529"/>
      <c r="F480" s="529"/>
      <c r="G480" s="529"/>
      <c r="H480" s="529"/>
      <c r="I480" s="529"/>
      <c r="J480" s="529"/>
      <c r="K480" s="64"/>
    </row>
    <row r="481" spans="1:16" ht="15" customHeight="1">
      <c r="A481" s="1326" t="s">
        <v>477</v>
      </c>
      <c r="B481" s="1327"/>
      <c r="C481" s="1313" t="s">
        <v>990</v>
      </c>
      <c r="D481" s="1314"/>
      <c r="E481" s="1313" t="s">
        <v>991</v>
      </c>
      <c r="F481" s="1314"/>
      <c r="G481" s="1313" t="s">
        <v>992</v>
      </c>
      <c r="H481" s="1334"/>
      <c r="I481" s="1314"/>
      <c r="J481" s="117"/>
      <c r="K481" s="64"/>
    </row>
    <row r="482" spans="1:16" ht="15.75" thickBot="1">
      <c r="A482" s="1335"/>
      <c r="B482" s="1336"/>
      <c r="C482" s="1337" t="s">
        <v>116</v>
      </c>
      <c r="D482" s="1338"/>
      <c r="E482" s="1337" t="s">
        <v>737</v>
      </c>
      <c r="F482" s="1338"/>
      <c r="G482" s="1337" t="s">
        <v>737</v>
      </c>
      <c r="H482" s="1339"/>
      <c r="I482" s="1338"/>
      <c r="J482" s="117"/>
      <c r="K482" s="64"/>
    </row>
    <row r="483" spans="1:16" ht="30.75" customHeight="1" thickBot="1">
      <c r="A483" s="1328"/>
      <c r="B483" s="1329"/>
      <c r="C483" s="1249"/>
      <c r="D483" s="1250"/>
      <c r="E483" s="532" t="s">
        <v>479</v>
      </c>
      <c r="F483" s="921" t="s">
        <v>480</v>
      </c>
      <c r="G483" s="532" t="s">
        <v>479</v>
      </c>
      <c r="H483" s="880" t="s">
        <v>480</v>
      </c>
      <c r="I483" s="922" t="s">
        <v>478</v>
      </c>
      <c r="J483" s="117"/>
      <c r="K483" s="64"/>
      <c r="M483" s="95"/>
      <c r="N483" s="95"/>
      <c r="O483" s="95"/>
      <c r="P483" s="466"/>
    </row>
    <row r="484" spans="1:16">
      <c r="A484" s="1313" t="s">
        <v>391</v>
      </c>
      <c r="B484" s="1314"/>
      <c r="C484" s="1315"/>
      <c r="D484" s="1055"/>
      <c r="E484" s="917"/>
      <c r="F484" s="918"/>
      <c r="G484" s="917"/>
      <c r="H484" s="919"/>
      <c r="I484" s="920"/>
      <c r="J484" s="529"/>
      <c r="K484" s="64"/>
      <c r="L484" s="495"/>
      <c r="M484" s="496"/>
      <c r="N484" s="496"/>
      <c r="O484" s="496"/>
      <c r="P484" s="496"/>
    </row>
    <row r="485" spans="1:16">
      <c r="A485" s="1253" t="s">
        <v>349</v>
      </c>
      <c r="B485" s="1234"/>
      <c r="C485" s="1308">
        <v>0.02</v>
      </c>
      <c r="D485" s="1309"/>
      <c r="E485" s="917"/>
      <c r="F485" s="918"/>
      <c r="G485" s="917"/>
      <c r="H485" s="919"/>
      <c r="I485" s="918"/>
      <c r="J485" s="529"/>
      <c r="K485" s="64"/>
      <c r="L485" s="495"/>
      <c r="M485" s="496"/>
      <c r="N485" s="496"/>
      <c r="O485" s="496"/>
      <c r="P485" s="496"/>
    </row>
    <row r="486" spans="1:16">
      <c r="A486" s="1253" t="s">
        <v>392</v>
      </c>
      <c r="B486" s="1234"/>
      <c r="C486" s="1308">
        <v>0.04</v>
      </c>
      <c r="D486" s="1309"/>
      <c r="E486" s="917"/>
      <c r="F486" s="918"/>
      <c r="G486" s="917"/>
      <c r="H486" s="919"/>
      <c r="I486" s="918"/>
      <c r="J486" s="529"/>
      <c r="K486" s="64"/>
      <c r="L486" s="495"/>
      <c r="M486" s="496"/>
      <c r="N486" s="496"/>
      <c r="O486" s="496"/>
      <c r="P486" s="496"/>
    </row>
    <row r="487" spans="1:16">
      <c r="A487" s="1253" t="s">
        <v>393</v>
      </c>
      <c r="B487" s="1234"/>
      <c r="C487" s="1308">
        <v>0.03</v>
      </c>
      <c r="D487" s="1309"/>
      <c r="E487" s="917"/>
      <c r="F487" s="918"/>
      <c r="G487" s="917"/>
      <c r="H487" s="919"/>
      <c r="I487" s="918"/>
      <c r="J487" s="529"/>
      <c r="K487" s="64"/>
      <c r="L487" s="495"/>
      <c r="M487" s="496"/>
      <c r="N487" s="496"/>
      <c r="O487" s="496"/>
      <c r="P487" s="496"/>
    </row>
    <row r="488" spans="1:16">
      <c r="A488" s="1253" t="s">
        <v>394</v>
      </c>
      <c r="B488" s="1234"/>
      <c r="C488" s="1308">
        <v>4.8000000000000001E-2</v>
      </c>
      <c r="D488" s="1309"/>
      <c r="E488" s="889" t="s">
        <v>738</v>
      </c>
      <c r="F488" s="890">
        <v>3913</v>
      </c>
      <c r="G488" s="889">
        <v>2610</v>
      </c>
      <c r="H488" s="886" t="s">
        <v>739</v>
      </c>
      <c r="I488" s="890" t="s">
        <v>740</v>
      </c>
      <c r="J488" s="529"/>
      <c r="K488" s="64"/>
      <c r="M488" s="95"/>
      <c r="N488" s="95"/>
      <c r="O488" s="95"/>
      <c r="P488" s="95"/>
    </row>
    <row r="489" spans="1:16">
      <c r="A489" s="1311" t="s">
        <v>285</v>
      </c>
      <c r="B489" s="1312"/>
      <c r="C489" s="1308"/>
      <c r="D489" s="1309"/>
      <c r="E489" s="889"/>
      <c r="F489" s="890"/>
      <c r="G489" s="889"/>
      <c r="H489" s="886"/>
      <c r="I489" s="890"/>
      <c r="J489" s="529"/>
      <c r="K489" s="64"/>
      <c r="M489" s="95"/>
      <c r="N489" s="95"/>
      <c r="O489" s="95"/>
      <c r="P489" s="95"/>
    </row>
    <row r="490" spans="1:16">
      <c r="A490" s="1253" t="s">
        <v>392</v>
      </c>
      <c r="B490" s="1234"/>
      <c r="C490" s="1308">
        <v>5.5E-2</v>
      </c>
      <c r="D490" s="1309"/>
      <c r="E490" s="889">
        <v>391</v>
      </c>
      <c r="F490" s="890">
        <v>4957</v>
      </c>
      <c r="G490" s="889">
        <v>391</v>
      </c>
      <c r="H490" s="886">
        <v>4131</v>
      </c>
      <c r="I490" s="890">
        <v>14787</v>
      </c>
      <c r="J490" s="529"/>
      <c r="K490" s="64"/>
      <c r="M490" s="95"/>
      <c r="N490" s="95"/>
      <c r="O490" s="95"/>
      <c r="P490" s="95"/>
    </row>
    <row r="491" spans="1:16">
      <c r="A491" s="1253" t="s">
        <v>393</v>
      </c>
      <c r="B491" s="1234"/>
      <c r="C491" s="1308">
        <v>5.2999999999999999E-2</v>
      </c>
      <c r="D491" s="1309"/>
      <c r="E491" s="889"/>
      <c r="F491" s="890"/>
      <c r="G491" s="889"/>
      <c r="H491" s="886">
        <v>22831</v>
      </c>
      <c r="I491" s="890" t="s">
        <v>741</v>
      </c>
      <c r="J491" s="529"/>
      <c r="K491" s="64"/>
    </row>
    <row r="492" spans="1:16">
      <c r="A492" s="1253" t="s">
        <v>395</v>
      </c>
      <c r="B492" s="1234"/>
      <c r="C492" s="1308">
        <v>6.7000000000000004E-2</v>
      </c>
      <c r="D492" s="1309"/>
      <c r="E492" s="889">
        <v>3237</v>
      </c>
      <c r="F492" s="890">
        <v>8311</v>
      </c>
      <c r="G492" s="889" t="s">
        <v>742</v>
      </c>
      <c r="H492" s="886"/>
      <c r="I492" s="890" t="s">
        <v>743</v>
      </c>
      <c r="J492" s="529"/>
      <c r="K492" s="64"/>
    </row>
    <row r="493" spans="1:16">
      <c r="A493" s="1253" t="s">
        <v>481</v>
      </c>
      <c r="B493" s="1234"/>
      <c r="C493" s="1308">
        <v>2.8000000000000001E-2</v>
      </c>
      <c r="D493" s="1309"/>
      <c r="E493" s="889" t="s">
        <v>744</v>
      </c>
      <c r="F493" s="890" t="s">
        <v>745</v>
      </c>
      <c r="G493" s="889" t="s">
        <v>746</v>
      </c>
      <c r="H493" s="886" t="s">
        <v>747</v>
      </c>
      <c r="I493" s="890" t="s">
        <v>748</v>
      </c>
      <c r="J493" s="529"/>
      <c r="K493" s="64"/>
    </row>
    <row r="494" spans="1:16">
      <c r="A494" s="1253" t="s">
        <v>482</v>
      </c>
      <c r="B494" s="1234"/>
      <c r="C494" s="1308">
        <v>5.6000000000000001E-2</v>
      </c>
      <c r="D494" s="1309"/>
      <c r="E494" s="889">
        <v>649</v>
      </c>
      <c r="F494" s="890">
        <v>5216</v>
      </c>
      <c r="G494" s="889">
        <v>325</v>
      </c>
      <c r="H494" s="886">
        <v>2371</v>
      </c>
      <c r="I494" s="890">
        <v>2680</v>
      </c>
      <c r="J494" s="529"/>
      <c r="K494" s="64"/>
    </row>
    <row r="495" spans="1:16">
      <c r="A495" s="1253" t="s">
        <v>396</v>
      </c>
      <c r="B495" s="1234"/>
      <c r="C495" s="1308">
        <v>6.7000000000000004E-2</v>
      </c>
      <c r="D495" s="1309"/>
      <c r="E495" s="889">
        <v>2849</v>
      </c>
      <c r="F495" s="890">
        <v>7416</v>
      </c>
      <c r="G495" s="889">
        <v>1425</v>
      </c>
      <c r="H495" s="886">
        <v>3371</v>
      </c>
      <c r="I495" s="890">
        <v>4513</v>
      </c>
      <c r="J495" s="529"/>
      <c r="K495" s="64"/>
    </row>
    <row r="496" spans="1:16" ht="15.75" thickBot="1">
      <c r="A496" s="1255" t="s">
        <v>483</v>
      </c>
      <c r="B496" s="1238"/>
      <c r="C496" s="1310">
        <v>9.6000000000000002E-2</v>
      </c>
      <c r="D496" s="1056"/>
      <c r="E496" s="888">
        <v>8566</v>
      </c>
      <c r="F496" s="877">
        <v>13132</v>
      </c>
      <c r="G496" s="888">
        <v>14277</v>
      </c>
      <c r="H496" s="878">
        <v>16416</v>
      </c>
      <c r="I496" s="877" t="s">
        <v>749</v>
      </c>
      <c r="J496" s="529"/>
      <c r="K496" s="64"/>
    </row>
    <row r="497" spans="1:11">
      <c r="A497" s="529"/>
      <c r="B497" s="529"/>
      <c r="C497" s="529"/>
      <c r="D497" s="529"/>
      <c r="E497" s="529"/>
      <c r="F497" s="529"/>
      <c r="G497" s="529"/>
      <c r="H497" s="529"/>
      <c r="I497" s="529"/>
      <c r="J497" s="529"/>
      <c r="K497" s="64"/>
    </row>
    <row r="498" spans="1:11">
      <c r="A498" s="529"/>
      <c r="B498" s="529"/>
      <c r="C498" s="529"/>
      <c r="D498" s="529"/>
      <c r="E498" s="529"/>
      <c r="F498" s="529"/>
      <c r="G498" s="879"/>
      <c r="H498" s="879"/>
      <c r="I498" s="529"/>
      <c r="J498" s="529"/>
      <c r="K498" s="64"/>
    </row>
    <row r="499" spans="1:11">
      <c r="A499" s="529" t="s">
        <v>1079</v>
      </c>
      <c r="B499" s="64"/>
      <c r="C499" s="64"/>
      <c r="D499" s="64"/>
      <c r="E499" s="64"/>
      <c r="F499" s="64"/>
      <c r="G499" s="366"/>
      <c r="H499" s="366"/>
      <c r="I499" s="64"/>
      <c r="J499" s="64"/>
      <c r="K499" s="64"/>
    </row>
    <row r="500" spans="1:11">
      <c r="A500" s="64"/>
      <c r="B500" s="64"/>
      <c r="C500" s="64"/>
      <c r="D500" s="64"/>
      <c r="E500" s="64"/>
      <c r="F500" s="64"/>
      <c r="G500" s="64"/>
      <c r="H500" s="64"/>
      <c r="I500" s="64"/>
      <c r="J500" s="64"/>
      <c r="K500" s="64"/>
    </row>
    <row r="501" spans="1:11">
      <c r="A501" s="585" t="s">
        <v>994</v>
      </c>
      <c r="B501" s="529"/>
      <c r="C501" s="529"/>
      <c r="D501" s="529"/>
      <c r="E501" s="529"/>
      <c r="F501" s="529"/>
      <c r="G501" s="529"/>
      <c r="H501" s="529"/>
      <c r="I501" s="529"/>
      <c r="J501" s="529"/>
      <c r="K501" s="64"/>
    </row>
    <row r="502" spans="1:11" ht="15.75" thickBot="1">
      <c r="A502" s="529"/>
      <c r="B502" s="529"/>
      <c r="C502" s="529"/>
      <c r="D502" s="529"/>
      <c r="E502" s="529"/>
      <c r="F502" s="529"/>
      <c r="G502" s="529"/>
      <c r="H502" s="529"/>
      <c r="I502" s="529"/>
      <c r="J502" s="529"/>
      <c r="K502" s="64"/>
    </row>
    <row r="503" spans="1:11">
      <c r="A503" s="1350" t="s">
        <v>477</v>
      </c>
      <c r="B503" s="1351"/>
      <c r="C503" s="922" t="s">
        <v>484</v>
      </c>
      <c r="D503" s="1347" t="s">
        <v>485</v>
      </c>
      <c r="E503" s="922" t="s">
        <v>405</v>
      </c>
      <c r="F503" s="1347" t="s">
        <v>487</v>
      </c>
      <c r="G503" s="1347" t="s">
        <v>488</v>
      </c>
      <c r="H503" s="1347" t="s">
        <v>993</v>
      </c>
      <c r="I503" s="922" t="s">
        <v>260</v>
      </c>
      <c r="J503" s="529"/>
      <c r="K503" s="64"/>
    </row>
    <row r="504" spans="1:11" ht="36.75" customHeight="1" thickBot="1">
      <c r="A504" s="1352"/>
      <c r="B504" s="1353"/>
      <c r="C504" s="924" t="s">
        <v>348</v>
      </c>
      <c r="D504" s="1348"/>
      <c r="E504" s="924" t="s">
        <v>486</v>
      </c>
      <c r="F504" s="1348"/>
      <c r="G504" s="1348"/>
      <c r="H504" s="1348"/>
      <c r="I504" s="924" t="s">
        <v>988</v>
      </c>
      <c r="J504" s="529"/>
      <c r="K504" s="64"/>
    </row>
    <row r="505" spans="1:11">
      <c r="A505" s="1311" t="s">
        <v>391</v>
      </c>
      <c r="B505" s="1312"/>
      <c r="C505" s="890"/>
      <c r="D505" s="890"/>
      <c r="E505" s="890"/>
      <c r="F505" s="890"/>
      <c r="G505" s="890"/>
      <c r="H505" s="890"/>
      <c r="I505" s="890"/>
      <c r="J505" s="529"/>
      <c r="K505" s="64"/>
    </row>
    <row r="506" spans="1:11">
      <c r="A506" s="1253" t="s">
        <v>349</v>
      </c>
      <c r="B506" s="1234"/>
      <c r="C506" s="890">
        <v>1200</v>
      </c>
      <c r="D506" s="890">
        <v>0.5</v>
      </c>
      <c r="E506" s="890">
        <v>5256</v>
      </c>
      <c r="F506" s="890">
        <v>0.02</v>
      </c>
      <c r="G506" s="890">
        <v>0</v>
      </c>
      <c r="H506" s="890">
        <v>0</v>
      </c>
      <c r="I506" s="890">
        <v>0</v>
      </c>
      <c r="J506" s="529"/>
      <c r="K506" s="64"/>
    </row>
    <row r="507" spans="1:11">
      <c r="A507" s="1253" t="s">
        <v>392</v>
      </c>
      <c r="B507" s="1234"/>
      <c r="C507" s="890">
        <v>600</v>
      </c>
      <c r="D507" s="890">
        <v>0.5</v>
      </c>
      <c r="E507" s="890">
        <v>2628</v>
      </c>
      <c r="F507" s="890">
        <v>0.04</v>
      </c>
      <c r="G507" s="890">
        <v>0</v>
      </c>
      <c r="H507" s="890">
        <v>0</v>
      </c>
      <c r="I507" s="890">
        <v>6</v>
      </c>
      <c r="J507" s="529"/>
      <c r="K507" s="64"/>
    </row>
    <row r="508" spans="1:11">
      <c r="A508" s="1253" t="s">
        <v>393</v>
      </c>
      <c r="B508" s="1234"/>
      <c r="C508" s="890">
        <v>420</v>
      </c>
      <c r="D508" s="890">
        <v>0.75</v>
      </c>
      <c r="E508" s="890">
        <v>2759</v>
      </c>
      <c r="F508" s="890">
        <v>0.03</v>
      </c>
      <c r="G508" s="890">
        <v>0</v>
      </c>
      <c r="H508" s="890">
        <v>5</v>
      </c>
      <c r="I508" s="890">
        <v>11</v>
      </c>
      <c r="J508" s="529"/>
      <c r="K508" s="64"/>
    </row>
    <row r="509" spans="1:11">
      <c r="A509" s="1253" t="s">
        <v>394</v>
      </c>
      <c r="B509" s="1234"/>
      <c r="C509" s="890">
        <v>400</v>
      </c>
      <c r="D509" s="890">
        <v>0.75</v>
      </c>
      <c r="E509" s="890">
        <v>2628</v>
      </c>
      <c r="F509" s="890">
        <v>0.04</v>
      </c>
      <c r="G509" s="890">
        <v>50</v>
      </c>
      <c r="H509" s="890">
        <v>0.5</v>
      </c>
      <c r="I509" s="890">
        <v>12</v>
      </c>
      <c r="J509" s="529"/>
      <c r="K509" s="64"/>
    </row>
    <row r="510" spans="1:11">
      <c r="A510" s="1311" t="s">
        <v>285</v>
      </c>
      <c r="B510" s="1312"/>
      <c r="C510" s="890"/>
      <c r="D510" s="890"/>
      <c r="E510" s="890"/>
      <c r="F510" s="890"/>
      <c r="G510" s="890"/>
      <c r="H510" s="890"/>
      <c r="I510" s="890"/>
      <c r="J510" s="529"/>
      <c r="K510" s="64"/>
    </row>
    <row r="511" spans="1:11">
      <c r="A511" s="1253" t="s">
        <v>392</v>
      </c>
      <c r="B511" s="1234"/>
      <c r="C511" s="890">
        <v>200</v>
      </c>
      <c r="D511" s="890">
        <v>0.75</v>
      </c>
      <c r="E511" s="890">
        <v>1314</v>
      </c>
      <c r="F511" s="890">
        <v>3.5000000000000003E-2</v>
      </c>
      <c r="G511" s="890">
        <v>130</v>
      </c>
      <c r="H511" s="890">
        <v>0</v>
      </c>
      <c r="I511" s="890">
        <v>5</v>
      </c>
      <c r="J511" s="529"/>
      <c r="K511" s="64"/>
    </row>
    <row r="512" spans="1:11">
      <c r="A512" s="1253" t="s">
        <v>393</v>
      </c>
      <c r="B512" s="1234"/>
      <c r="C512" s="890">
        <v>200</v>
      </c>
      <c r="D512" s="890">
        <v>0.75</v>
      </c>
      <c r="E512" s="890">
        <v>1314</v>
      </c>
      <c r="F512" s="890">
        <v>0.03</v>
      </c>
      <c r="G512" s="890">
        <v>150</v>
      </c>
      <c r="H512" s="890">
        <v>5</v>
      </c>
      <c r="I512" s="890">
        <v>10</v>
      </c>
      <c r="J512" s="529"/>
      <c r="K512" s="64"/>
    </row>
    <row r="513" spans="1:11">
      <c r="A513" s="1253" t="s">
        <v>395</v>
      </c>
      <c r="B513" s="1234"/>
      <c r="C513" s="890">
        <v>200</v>
      </c>
      <c r="D513" s="890">
        <v>0.75</v>
      </c>
      <c r="E513" s="890">
        <v>1314</v>
      </c>
      <c r="F513" s="890">
        <v>0.04</v>
      </c>
      <c r="G513" s="890">
        <v>180</v>
      </c>
      <c r="H513" s="890">
        <v>0.5</v>
      </c>
      <c r="I513" s="890">
        <v>11</v>
      </c>
      <c r="J513" s="529"/>
      <c r="K513" s="64"/>
    </row>
    <row r="514" spans="1:11">
      <c r="A514" s="1253" t="s">
        <v>481</v>
      </c>
      <c r="B514" s="1234"/>
      <c r="C514" s="890">
        <v>375</v>
      </c>
      <c r="D514" s="890">
        <v>0.4</v>
      </c>
      <c r="E514" s="890">
        <v>1314</v>
      </c>
      <c r="F514" s="890" t="s">
        <v>489</v>
      </c>
      <c r="G514" s="890">
        <v>100</v>
      </c>
      <c r="H514" s="890">
        <v>0</v>
      </c>
      <c r="I514" s="890">
        <v>0</v>
      </c>
      <c r="J514" s="529"/>
      <c r="K514" s="64"/>
    </row>
    <row r="515" spans="1:11">
      <c r="A515" s="1253" t="s">
        <v>482</v>
      </c>
      <c r="B515" s="1234"/>
      <c r="C515" s="890">
        <v>750</v>
      </c>
      <c r="D515" s="890">
        <v>0.2</v>
      </c>
      <c r="E515" s="890">
        <v>1314</v>
      </c>
      <c r="F515" s="890" t="s">
        <v>489</v>
      </c>
      <c r="G515" s="890">
        <v>100</v>
      </c>
      <c r="H515" s="890">
        <v>0</v>
      </c>
      <c r="I515" s="890">
        <v>0</v>
      </c>
      <c r="J515" s="529"/>
      <c r="K515" s="64"/>
    </row>
    <row r="516" spans="1:11">
      <c r="A516" s="1253" t="s">
        <v>396</v>
      </c>
      <c r="B516" s="1234"/>
      <c r="C516" s="890">
        <v>500</v>
      </c>
      <c r="D516" s="890">
        <v>0.3</v>
      </c>
      <c r="E516" s="890">
        <v>1314</v>
      </c>
      <c r="F516" s="890">
        <v>0.01</v>
      </c>
      <c r="G516" s="890">
        <v>150</v>
      </c>
      <c r="H516" s="890">
        <v>0</v>
      </c>
      <c r="I516" s="890">
        <v>0</v>
      </c>
      <c r="J516" s="529"/>
      <c r="K516" s="64"/>
    </row>
    <row r="517" spans="1:11">
      <c r="A517" s="1253" t="s">
        <v>483</v>
      </c>
      <c r="B517" s="1234"/>
      <c r="C517" s="890">
        <v>50</v>
      </c>
      <c r="D517" s="890">
        <v>0.15</v>
      </c>
      <c r="E517" s="890">
        <v>66</v>
      </c>
      <c r="F517" s="890">
        <v>0.05</v>
      </c>
      <c r="G517" s="890">
        <v>60</v>
      </c>
      <c r="H517" s="890">
        <v>0</v>
      </c>
      <c r="I517" s="890">
        <v>7</v>
      </c>
      <c r="J517" s="529"/>
      <c r="K517" s="64"/>
    </row>
    <row r="518" spans="1:11" ht="15.75" thickBot="1">
      <c r="A518" s="1255" t="s">
        <v>490</v>
      </c>
      <c r="B518" s="1238"/>
      <c r="C518" s="877">
        <v>100</v>
      </c>
      <c r="D518" s="877" t="s">
        <v>491</v>
      </c>
      <c r="E518" s="877" t="s">
        <v>492</v>
      </c>
      <c r="F518" s="877"/>
      <c r="G518" s="877">
        <v>50</v>
      </c>
      <c r="H518" s="877">
        <v>0</v>
      </c>
      <c r="I518" s="877">
        <v>0</v>
      </c>
      <c r="J518" s="529"/>
      <c r="K518" s="64"/>
    </row>
    <row r="519" spans="1:11" s="70" customFormat="1">
      <c r="A519" s="925"/>
      <c r="B519" s="925"/>
      <c r="C519" s="926"/>
      <c r="D519" s="926"/>
      <c r="E519" s="926"/>
      <c r="F519" s="926"/>
      <c r="G519" s="926"/>
      <c r="H519" s="926"/>
      <c r="I519" s="926"/>
      <c r="J519" s="923"/>
    </row>
    <row r="520" spans="1:11" s="70" customFormat="1">
      <c r="A520" s="499" t="s">
        <v>493</v>
      </c>
      <c r="B520" s="497"/>
      <c r="C520" s="498"/>
      <c r="D520" s="498"/>
      <c r="E520" s="498"/>
      <c r="F520" s="498"/>
      <c r="G520" s="498"/>
      <c r="H520" s="498"/>
      <c r="I520" s="498"/>
    </row>
    <row r="521" spans="1:11" ht="15.75" thickBot="1">
      <c r="A521" s="70"/>
      <c r="B521" s="70"/>
      <c r="C521" s="70"/>
      <c r="D521" s="70"/>
      <c r="E521" s="70"/>
      <c r="F521" s="70"/>
      <c r="G521" s="70"/>
      <c r="H521" s="70"/>
      <c r="I521" s="70"/>
      <c r="J521" s="70"/>
      <c r="K521" s="70"/>
    </row>
    <row r="522" spans="1:11" ht="18">
      <c r="A522" s="1320" t="s">
        <v>477</v>
      </c>
      <c r="B522" s="1321"/>
      <c r="C522" s="1320" t="s">
        <v>990</v>
      </c>
      <c r="D522" s="1321"/>
      <c r="E522" s="1320" t="s">
        <v>991</v>
      </c>
      <c r="F522" s="1321"/>
      <c r="G522" s="1320" t="s">
        <v>992</v>
      </c>
      <c r="H522" s="1354"/>
      <c r="I522" s="1321"/>
      <c r="J522" s="941"/>
      <c r="K522" s="353"/>
    </row>
    <row r="523" spans="1:11" ht="15.75" thickBot="1">
      <c r="A523" s="1322"/>
      <c r="B523" s="1323"/>
      <c r="C523" s="1349" t="s">
        <v>116</v>
      </c>
      <c r="D523" s="1323"/>
      <c r="E523" s="1324" t="s">
        <v>737</v>
      </c>
      <c r="F523" s="1325"/>
      <c r="G523" s="1324" t="s">
        <v>737</v>
      </c>
      <c r="H523" s="1344"/>
      <c r="I523" s="1325"/>
      <c r="J523" s="941"/>
      <c r="K523" s="353"/>
    </row>
    <row r="524" spans="1:11" ht="52.5" customHeight="1" thickBot="1">
      <c r="A524" s="1324"/>
      <c r="B524" s="1325"/>
      <c r="C524" s="1344"/>
      <c r="D524" s="1325"/>
      <c r="E524" s="942" t="s">
        <v>479</v>
      </c>
      <c r="F524" s="943" t="s">
        <v>480</v>
      </c>
      <c r="G524" s="944" t="s">
        <v>479</v>
      </c>
      <c r="H524" s="945" t="s">
        <v>480</v>
      </c>
      <c r="I524" s="943" t="s">
        <v>478</v>
      </c>
      <c r="J524" s="56"/>
    </row>
    <row r="525" spans="1:11">
      <c r="A525" s="1322" t="s">
        <v>391</v>
      </c>
      <c r="B525" s="1323"/>
      <c r="C525" s="1345"/>
      <c r="D525" s="1346"/>
      <c r="E525" s="927"/>
      <c r="F525" s="928"/>
      <c r="G525" s="927"/>
      <c r="H525" s="929"/>
      <c r="I525" s="928"/>
      <c r="J525" s="527"/>
    </row>
    <row r="526" spans="1:11">
      <c r="A526" s="1330" t="s">
        <v>349</v>
      </c>
      <c r="B526" s="1331"/>
      <c r="C526" s="1332">
        <v>0.02</v>
      </c>
      <c r="D526" s="1333"/>
      <c r="E526" s="930"/>
      <c r="F526" s="881"/>
      <c r="G526" s="930"/>
      <c r="H526" s="931"/>
      <c r="I526" s="881"/>
      <c r="J526" s="527"/>
    </row>
    <row r="527" spans="1:11">
      <c r="A527" s="1330" t="s">
        <v>392</v>
      </c>
      <c r="B527" s="1331"/>
      <c r="C527" s="1332">
        <v>0.04</v>
      </c>
      <c r="D527" s="1333"/>
      <c r="E527" s="930"/>
      <c r="F527" s="881"/>
      <c r="G527" s="930"/>
      <c r="H527" s="931"/>
      <c r="I527" s="881"/>
      <c r="J527" s="527"/>
    </row>
    <row r="528" spans="1:11">
      <c r="A528" s="1330" t="s">
        <v>393</v>
      </c>
      <c r="B528" s="1331"/>
      <c r="C528" s="1332">
        <v>0.03</v>
      </c>
      <c r="D528" s="1333"/>
      <c r="E528" s="930"/>
      <c r="F528" s="881"/>
      <c r="G528" s="930"/>
      <c r="H528" s="931"/>
      <c r="I528" s="881"/>
      <c r="J528" s="527"/>
    </row>
    <row r="529" spans="1:12">
      <c r="A529" s="1330" t="s">
        <v>394</v>
      </c>
      <c r="B529" s="1331"/>
      <c r="C529" s="1332">
        <v>4.8000000000000001E-2</v>
      </c>
      <c r="D529" s="1333"/>
      <c r="E529" s="932">
        <f>(C529-$C$532)*10^6/($H$512-H509)</f>
        <v>-1111.1111111111104</v>
      </c>
      <c r="F529" s="933">
        <f>(C529-$C$528)*10^6/($H$508-H509)</f>
        <v>4000.0000000000009</v>
      </c>
      <c r="G529" s="934">
        <f>(C529-$C$532)*10^6/($I$512-I509)</f>
        <v>2499.9999999999986</v>
      </c>
      <c r="H529" s="926">
        <f>(C529-$C$528)*10^6/($I$508-I509)</f>
        <v>-18000.000000000004</v>
      </c>
      <c r="I529" s="933">
        <f>(C529-$C$527)*10^6/($I$507-I509)</f>
        <v>-1333.3333333333333</v>
      </c>
      <c r="J529" s="527"/>
    </row>
    <row r="530" spans="1:12">
      <c r="A530" s="1322" t="s">
        <v>285</v>
      </c>
      <c r="B530" s="1323"/>
      <c r="C530" s="1332"/>
      <c r="D530" s="1333"/>
      <c r="E530" s="934"/>
      <c r="F530" s="935"/>
      <c r="G530" s="934"/>
      <c r="H530" s="926"/>
      <c r="I530" s="935"/>
      <c r="J530" s="527"/>
    </row>
    <row r="531" spans="1:12">
      <c r="A531" s="1330" t="s">
        <v>392</v>
      </c>
      <c r="B531" s="1331"/>
      <c r="C531" s="1332">
        <v>5.5E-2</v>
      </c>
      <c r="D531" s="1333"/>
      <c r="E531" s="932">
        <f>(C531-$C$532)*10^6/($H$512-H511)</f>
        <v>400.00000000000034</v>
      </c>
      <c r="F531" s="933">
        <f>(C531-$C$528)*10^6/($H$508-H511)</f>
        <v>5000</v>
      </c>
      <c r="G531" s="934">
        <f>(C531-$C$532)*10^6/($I$512-I511)</f>
        <v>400.00000000000034</v>
      </c>
      <c r="H531" s="936">
        <f>(C531-$C$528)*10^6/($I$508-I511)</f>
        <v>4166.666666666667</v>
      </c>
      <c r="I531" s="935">
        <f t="shared" ref="I531:I537" si="36">(C531-$C$527)*10^6/($I$507-I511)</f>
        <v>15000</v>
      </c>
      <c r="J531" s="527"/>
    </row>
    <row r="532" spans="1:12">
      <c r="A532" s="1330" t="s">
        <v>393</v>
      </c>
      <c r="B532" s="1331"/>
      <c r="C532" s="1332">
        <v>5.2999999999999999E-2</v>
      </c>
      <c r="D532" s="1333"/>
      <c r="E532" s="932"/>
      <c r="F532" s="935"/>
      <c r="G532" s="934"/>
      <c r="H532" s="936">
        <f>(C532-$C$528)*10^6/($I$508-I512)</f>
        <v>23000</v>
      </c>
      <c r="I532" s="935">
        <f t="shared" si="36"/>
        <v>-3249.9999999999995</v>
      </c>
      <c r="J532" s="527"/>
    </row>
    <row r="533" spans="1:12">
      <c r="A533" s="1330" t="s">
        <v>395</v>
      </c>
      <c r="B533" s="1331"/>
      <c r="C533" s="1332">
        <v>6.7000000000000004E-2</v>
      </c>
      <c r="D533" s="1333"/>
      <c r="E533" s="932">
        <f>(C533-$C$532)*10^6/($H$512-H513)</f>
        <v>3111.1111111111122</v>
      </c>
      <c r="F533" s="933">
        <f>(C533-$C$528)*10^6/($H$508-H513)</f>
        <v>8222.2222222222244</v>
      </c>
      <c r="G533" s="934">
        <f>(C533-$C$532)*10^6/($I$512-I513)</f>
        <v>-14000.000000000005</v>
      </c>
      <c r="H533" s="936"/>
      <c r="I533" s="935">
        <f t="shared" si="36"/>
        <v>-5400.0000000000009</v>
      </c>
      <c r="J533" s="527"/>
    </row>
    <row r="534" spans="1:12">
      <c r="A534" s="1330" t="s">
        <v>481</v>
      </c>
      <c r="B534" s="1331"/>
      <c r="C534" s="1332">
        <v>2.8000000000000001E-2</v>
      </c>
      <c r="D534" s="1333"/>
      <c r="E534" s="932">
        <f>(C534-$C$532)*10^6/($H$512-H514)</f>
        <v>-4999.9999999999991</v>
      </c>
      <c r="F534" s="933">
        <f>(C534-$C$528)*10^6/($H$508-H514)</f>
        <v>-399.99999999999966</v>
      </c>
      <c r="G534" s="934">
        <f>(C534-$C$532)*10^6/($I$512-I514)</f>
        <v>-2499.9999999999995</v>
      </c>
      <c r="H534" s="936">
        <f>(C534-$C$528)*10^6/($I$508-I514)</f>
        <v>-181.81818181818167</v>
      </c>
      <c r="I534" s="935">
        <f t="shared" si="36"/>
        <v>-2000</v>
      </c>
      <c r="J534" s="527"/>
    </row>
    <row r="535" spans="1:12">
      <c r="A535" s="1330" t="s">
        <v>482</v>
      </c>
      <c r="B535" s="1331"/>
      <c r="C535" s="1332">
        <v>5.6000000000000001E-2</v>
      </c>
      <c r="D535" s="1333"/>
      <c r="E535" s="932">
        <f>(C535-$C$532)*10^6/($H$512-H515)</f>
        <v>600.00000000000057</v>
      </c>
      <c r="F535" s="933">
        <f>(C535-$C$528)*10^6/($H$508-H515)</f>
        <v>5200.0000000000009</v>
      </c>
      <c r="G535" s="934">
        <f>(C535-$C$532)*10^6/($I$512-I515)</f>
        <v>300.00000000000028</v>
      </c>
      <c r="H535" s="936">
        <f>(C535-$C$528)*10^6/($I$508-I515)</f>
        <v>2363.636363636364</v>
      </c>
      <c r="I535" s="933">
        <f t="shared" si="36"/>
        <v>2666.6666666666665</v>
      </c>
      <c r="J535" s="527"/>
    </row>
    <row r="536" spans="1:12">
      <c r="A536" s="1330" t="s">
        <v>396</v>
      </c>
      <c r="B536" s="1331"/>
      <c r="C536" s="1332">
        <v>6.7000000000000004E-2</v>
      </c>
      <c r="D536" s="1333"/>
      <c r="E536" s="932">
        <f>(C536-$C$532)*10^6/($H$512-H516)</f>
        <v>2800.0000000000009</v>
      </c>
      <c r="F536" s="933">
        <f>(C536-$C$528)*10^6/($H$508-H516)</f>
        <v>7400.0000000000018</v>
      </c>
      <c r="G536" s="934">
        <f>(C536-$C$532)*10^6/($I$512-I516)</f>
        <v>1400.0000000000005</v>
      </c>
      <c r="H536" s="936">
        <f>(C536-$C$528)*10^6/($I$508-I516)</f>
        <v>3363.6363636363644</v>
      </c>
      <c r="I536" s="935">
        <f t="shared" si="36"/>
        <v>4500.0000000000009</v>
      </c>
      <c r="J536" s="527"/>
    </row>
    <row r="537" spans="1:12" ht="15.75" thickBot="1">
      <c r="A537" s="1340" t="s">
        <v>483</v>
      </c>
      <c r="B537" s="1341"/>
      <c r="C537" s="1342">
        <v>9.6000000000000002E-2</v>
      </c>
      <c r="D537" s="1343"/>
      <c r="E537" s="937">
        <f>(C537-$C$532)*10^6/($H$512-H517)</f>
        <v>8600</v>
      </c>
      <c r="F537" s="938">
        <f>(C537-$C$528)*10^6/($H$508-H517)</f>
        <v>13200</v>
      </c>
      <c r="G537" s="937">
        <f>(C537-$C$532)*10^6/($I$512-I517)</f>
        <v>14333.333333333334</v>
      </c>
      <c r="H537" s="939">
        <f>(C537-$C$528)*10^6/($I$508-I517)</f>
        <v>16500</v>
      </c>
      <c r="I537" s="940">
        <f t="shared" si="36"/>
        <v>-56000</v>
      </c>
      <c r="J537" s="527"/>
    </row>
    <row r="538" spans="1:12">
      <c r="A538" s="599"/>
      <c r="B538" s="599"/>
      <c r="C538" s="599"/>
      <c r="D538" s="599"/>
      <c r="E538" s="599"/>
      <c r="F538" s="599"/>
      <c r="G538" s="599"/>
      <c r="H538" s="599"/>
      <c r="I538" s="599"/>
      <c r="J538" s="599"/>
      <c r="K538" s="87"/>
    </row>
    <row r="539" spans="1:12" ht="13.5" customHeight="1">
      <c r="A539" s="1013" t="s">
        <v>1080</v>
      </c>
      <c r="B539" s="1159"/>
      <c r="C539" s="1159"/>
      <c r="D539" s="1159"/>
      <c r="E539" s="1159"/>
      <c r="F539" s="1159"/>
      <c r="G539" s="1159"/>
      <c r="H539" s="1159"/>
      <c r="I539" s="1159"/>
      <c r="J539" s="1159"/>
      <c r="K539" s="1159"/>
    </row>
    <row r="540" spans="1:12" ht="24.75" customHeight="1">
      <c r="A540" s="1013" t="s">
        <v>1081</v>
      </c>
      <c r="B540" s="1461"/>
      <c r="C540" s="1461"/>
      <c r="D540" s="1461"/>
      <c r="E540" s="1461"/>
      <c r="F540" s="1461"/>
      <c r="G540" s="1461"/>
      <c r="H540" s="1461"/>
      <c r="I540" s="1461"/>
      <c r="J540" s="1461"/>
      <c r="K540" s="1461"/>
    </row>
    <row r="541" spans="1:12">
      <c r="A541" s="1461"/>
      <c r="B541" s="1461"/>
      <c r="C541" s="1461"/>
      <c r="D541" s="1461"/>
      <c r="E541" s="1461"/>
      <c r="F541" s="1461"/>
      <c r="G541" s="1461"/>
      <c r="H541" s="1461"/>
      <c r="I541" s="1461"/>
      <c r="J541" s="1461"/>
      <c r="K541" s="1461"/>
    </row>
    <row r="542" spans="1:12">
      <c r="A542" s="1461"/>
      <c r="B542" s="1461"/>
      <c r="C542" s="1461"/>
      <c r="D542" s="1461"/>
      <c r="E542" s="1461"/>
      <c r="F542" s="1461"/>
      <c r="G542" s="1461"/>
      <c r="H542" s="1461"/>
      <c r="I542" s="1461"/>
      <c r="J542" s="1461"/>
      <c r="K542" s="1461"/>
    </row>
    <row r="543" spans="1:12" ht="15.75" thickBot="1"/>
    <row r="544" spans="1:12" ht="15.75" customHeight="1" thickBot="1">
      <c r="A544" s="1394" t="s">
        <v>494</v>
      </c>
      <c r="B544" s="1395"/>
      <c r="C544" s="1477" t="s">
        <v>495</v>
      </c>
      <c r="D544" s="1477"/>
      <c r="E544" s="1477"/>
      <c r="F544" s="1477"/>
      <c r="G544" s="1477"/>
      <c r="H544" s="1477"/>
      <c r="I544" s="1477"/>
      <c r="J544" s="1462" t="s">
        <v>993</v>
      </c>
      <c r="K544" s="1395" t="s">
        <v>260</v>
      </c>
      <c r="L544" s="527"/>
    </row>
    <row r="545" spans="1:15" ht="15.75" customHeight="1">
      <c r="A545" s="1459"/>
      <c r="B545" s="1460"/>
      <c r="C545" s="1394" t="s">
        <v>345</v>
      </c>
      <c r="D545" s="946" t="s">
        <v>995</v>
      </c>
      <c r="E545" s="947" t="s">
        <v>995</v>
      </c>
      <c r="F545" s="946" t="s">
        <v>996</v>
      </c>
      <c r="G545" s="948" t="s">
        <v>996</v>
      </c>
      <c r="H545" s="967" t="s">
        <v>995</v>
      </c>
      <c r="I545" s="968" t="s">
        <v>497</v>
      </c>
      <c r="J545" s="1463"/>
      <c r="K545" s="1460"/>
      <c r="L545" s="527"/>
    </row>
    <row r="546" spans="1:15" ht="18.75" thickBot="1">
      <c r="A546" s="1396"/>
      <c r="B546" s="1397"/>
      <c r="C546" s="1396"/>
      <c r="D546" s="500">
        <v>600</v>
      </c>
      <c r="E546" s="885">
        <v>4500</v>
      </c>
      <c r="F546" s="501">
        <v>600</v>
      </c>
      <c r="G546" s="431">
        <v>4500</v>
      </c>
      <c r="H546" s="500">
        <v>3000</v>
      </c>
      <c r="I546" s="502">
        <v>2000</v>
      </c>
      <c r="J546" s="1464"/>
      <c r="K546" s="949" t="s">
        <v>988</v>
      </c>
      <c r="L546" s="527"/>
    </row>
    <row r="547" spans="1:15">
      <c r="A547" s="1457" t="s">
        <v>391</v>
      </c>
      <c r="B547" s="1458"/>
      <c r="C547" s="882"/>
      <c r="D547" s="882"/>
      <c r="E547" s="883"/>
      <c r="F547" s="875"/>
      <c r="G547" s="876"/>
      <c r="H547" s="1022"/>
      <c r="I547" s="1024"/>
      <c r="J547" s="884"/>
      <c r="K547" s="884"/>
      <c r="L547" s="543"/>
    </row>
    <row r="548" spans="1:15">
      <c r="A548" s="1449" t="s">
        <v>349</v>
      </c>
      <c r="B548" s="1450"/>
      <c r="C548" s="882">
        <v>0.02</v>
      </c>
      <c r="D548" s="950">
        <f>$J548*$D$546/10^6+$C548</f>
        <v>0.02</v>
      </c>
      <c r="E548" s="951">
        <f>$J548*$E$546/10^6+$C548</f>
        <v>0.02</v>
      </c>
      <c r="F548" s="950">
        <f>$K548*$F$546/10^6+$C548</f>
        <v>0.02</v>
      </c>
      <c r="G548" s="952">
        <f>$K548*$G$546/10^6+$C548</f>
        <v>0.02</v>
      </c>
      <c r="H548" s="1455">
        <f>($J548*$H$546/10^6)+($K548*$I$546/10^6)+C548</f>
        <v>0.02</v>
      </c>
      <c r="I548" s="1456"/>
      <c r="J548" s="884">
        <v>0</v>
      </c>
      <c r="K548" s="884">
        <v>0</v>
      </c>
      <c r="L548" s="953"/>
    </row>
    <row r="549" spans="1:15">
      <c r="A549" s="1449" t="s">
        <v>392</v>
      </c>
      <c r="B549" s="1450"/>
      <c r="C549" s="882">
        <v>0.04</v>
      </c>
      <c r="D549" s="950">
        <f>$J549*$D$546/10^6+$C549</f>
        <v>0.04</v>
      </c>
      <c r="E549" s="951">
        <f>$J549*$E$546/10^6+$C549</f>
        <v>0.04</v>
      </c>
      <c r="F549" s="950">
        <f>$K549*$F$546/10^6+$C549</f>
        <v>4.36E-2</v>
      </c>
      <c r="G549" s="952">
        <f>$K549*$G$546/10^6+$C549</f>
        <v>6.7000000000000004E-2</v>
      </c>
      <c r="H549" s="1455">
        <f>($J549*$H$546/10^6)+($K549*$I$546/10^6)+C549</f>
        <v>5.2000000000000005E-2</v>
      </c>
      <c r="I549" s="1456"/>
      <c r="J549" s="884">
        <v>0</v>
      </c>
      <c r="K549" s="884">
        <v>6</v>
      </c>
      <c r="L549" s="953"/>
    </row>
    <row r="550" spans="1:15">
      <c r="A550" s="1449" t="s">
        <v>393</v>
      </c>
      <c r="B550" s="1450"/>
      <c r="C550" s="882">
        <v>0.03</v>
      </c>
      <c r="D550" s="950">
        <f>$J550*$D$546/10^6+$C550</f>
        <v>3.3000000000000002E-2</v>
      </c>
      <c r="E550" s="951">
        <f>$J550*$E$546/10^6+$C550</f>
        <v>5.2499999999999998E-2</v>
      </c>
      <c r="F550" s="950">
        <f>$K550*$F$546/10^6+$C550</f>
        <v>3.6600000000000001E-2</v>
      </c>
      <c r="G550" s="952">
        <f>$K550*$G$546/10^6+$C550</f>
        <v>7.9500000000000001E-2</v>
      </c>
      <c r="H550" s="1455">
        <f>($J550*$H$546/10^6)+($K550*$I$546/10^6)+C550</f>
        <v>6.7000000000000004E-2</v>
      </c>
      <c r="I550" s="1456"/>
      <c r="J550" s="884">
        <v>5</v>
      </c>
      <c r="K550" s="884">
        <v>11</v>
      </c>
      <c r="L550" s="953"/>
    </row>
    <row r="551" spans="1:15">
      <c r="A551" s="1449" t="s">
        <v>496</v>
      </c>
      <c r="B551" s="1450"/>
      <c r="C551" s="882">
        <v>4.8000000000000001E-2</v>
      </c>
      <c r="D551" s="950">
        <f>$J551*$D$546/10^6+$C551</f>
        <v>4.8300000000000003E-2</v>
      </c>
      <c r="E551" s="951">
        <f>$J551*$E$546/10^6+$C551</f>
        <v>5.0250000000000003E-2</v>
      </c>
      <c r="F551" s="950">
        <f>$K551*$F$546/10^6+$C551</f>
        <v>5.5199999999999999E-2</v>
      </c>
      <c r="G551" s="952">
        <f>$K551*$G$546/10^6+$C551</f>
        <v>0.10200000000000001</v>
      </c>
      <c r="H551" s="1455">
        <f>($J551*$H$546/10^6)+($K551*$I$546/10^6)+C551</f>
        <v>7.350000000000001E-2</v>
      </c>
      <c r="I551" s="1456"/>
      <c r="J551" s="884">
        <v>0.5</v>
      </c>
      <c r="K551" s="884">
        <v>12</v>
      </c>
      <c r="L551" s="953"/>
    </row>
    <row r="552" spans="1:15">
      <c r="A552" s="1457" t="s">
        <v>285</v>
      </c>
      <c r="B552" s="1458"/>
      <c r="C552" s="882"/>
      <c r="D552" s="950"/>
      <c r="E552" s="951"/>
      <c r="F552" s="950"/>
      <c r="G552" s="952"/>
      <c r="H552" s="1455"/>
      <c r="I552" s="1456"/>
      <c r="J552" s="884"/>
      <c r="K552" s="884"/>
      <c r="L552" s="953"/>
    </row>
    <row r="553" spans="1:15">
      <c r="A553" s="1449" t="s">
        <v>392</v>
      </c>
      <c r="B553" s="1450"/>
      <c r="C553" s="882">
        <v>5.5E-2</v>
      </c>
      <c r="D553" s="950">
        <f t="shared" ref="D553:D559" si="37">$J553*$D$546/10^6+$C553</f>
        <v>5.5E-2</v>
      </c>
      <c r="E553" s="951">
        <f t="shared" ref="E553:E559" si="38">$J553*$E$546/10^6+$C553</f>
        <v>5.5E-2</v>
      </c>
      <c r="F553" s="950">
        <f t="shared" ref="F553:F559" si="39">$K553*$F$546/10^6+$C553</f>
        <v>5.8000000000000003E-2</v>
      </c>
      <c r="G553" s="952">
        <f t="shared" ref="G553:G559" si="40">$K553*$G$546/10^6+$C553</f>
        <v>7.7499999999999999E-2</v>
      </c>
      <c r="H553" s="1455">
        <f t="shared" ref="H553:H559" si="41">($J553*$H$546/10^6)+($K553*$I$546/10^6)+C553</f>
        <v>6.5000000000000002E-2</v>
      </c>
      <c r="I553" s="1456"/>
      <c r="J553" s="884">
        <v>0</v>
      </c>
      <c r="K553" s="884">
        <v>5</v>
      </c>
      <c r="L553" s="953"/>
    </row>
    <row r="554" spans="1:15">
      <c r="A554" s="1449" t="s">
        <v>393</v>
      </c>
      <c r="B554" s="1450"/>
      <c r="C554" s="882">
        <v>5.2999999999999999E-2</v>
      </c>
      <c r="D554" s="950">
        <f t="shared" si="37"/>
        <v>5.6000000000000001E-2</v>
      </c>
      <c r="E554" s="951">
        <f t="shared" si="38"/>
        <v>7.5499999999999998E-2</v>
      </c>
      <c r="F554" s="950">
        <f t="shared" si="39"/>
        <v>5.8999999999999997E-2</v>
      </c>
      <c r="G554" s="952">
        <f t="shared" si="40"/>
        <v>9.8000000000000004E-2</v>
      </c>
      <c r="H554" s="1455">
        <f t="shared" si="41"/>
        <v>8.7999999999999995E-2</v>
      </c>
      <c r="I554" s="1456"/>
      <c r="J554" s="884">
        <v>5</v>
      </c>
      <c r="K554" s="884">
        <v>10</v>
      </c>
      <c r="L554" s="953"/>
    </row>
    <row r="555" spans="1:15">
      <c r="A555" s="1449" t="s">
        <v>395</v>
      </c>
      <c r="B555" s="1450"/>
      <c r="C555" s="882">
        <v>6.7000000000000004E-2</v>
      </c>
      <c r="D555" s="950">
        <f t="shared" si="37"/>
        <v>6.7299999999999999E-2</v>
      </c>
      <c r="E555" s="951">
        <f t="shared" si="38"/>
        <v>6.9250000000000006E-2</v>
      </c>
      <c r="F555" s="950">
        <f t="shared" si="39"/>
        <v>7.3599999999999999E-2</v>
      </c>
      <c r="G555" s="952">
        <f t="shared" si="40"/>
        <v>0.11650000000000001</v>
      </c>
      <c r="H555" s="1455">
        <f t="shared" si="41"/>
        <v>9.0499999999999997E-2</v>
      </c>
      <c r="I555" s="1491"/>
      <c r="J555" s="884">
        <v>0.5</v>
      </c>
      <c r="K555" s="884">
        <v>11</v>
      </c>
      <c r="L555" s="953"/>
    </row>
    <row r="556" spans="1:15">
      <c r="A556" s="1449" t="s">
        <v>481</v>
      </c>
      <c r="B556" s="1450"/>
      <c r="C556" s="882">
        <v>2.8000000000000001E-2</v>
      </c>
      <c r="D556" s="950">
        <f t="shared" si="37"/>
        <v>2.8000000000000001E-2</v>
      </c>
      <c r="E556" s="951">
        <f t="shared" si="38"/>
        <v>2.8000000000000001E-2</v>
      </c>
      <c r="F556" s="950">
        <f t="shared" si="39"/>
        <v>2.8000000000000001E-2</v>
      </c>
      <c r="G556" s="952">
        <f t="shared" si="40"/>
        <v>2.8000000000000001E-2</v>
      </c>
      <c r="H556" s="1455">
        <f t="shared" si="41"/>
        <v>2.8000000000000001E-2</v>
      </c>
      <c r="I556" s="1456"/>
      <c r="J556" s="884">
        <v>0</v>
      </c>
      <c r="K556" s="884">
        <v>0</v>
      </c>
      <c r="L556" s="953"/>
    </row>
    <row r="557" spans="1:15">
      <c r="A557" s="1449" t="s">
        <v>482</v>
      </c>
      <c r="B557" s="1450"/>
      <c r="C557" s="882">
        <v>5.6000000000000001E-2</v>
      </c>
      <c r="D557" s="950">
        <f t="shared" si="37"/>
        <v>5.6000000000000001E-2</v>
      </c>
      <c r="E557" s="951">
        <f t="shared" si="38"/>
        <v>5.6000000000000001E-2</v>
      </c>
      <c r="F557" s="950">
        <f t="shared" si="39"/>
        <v>5.6000000000000001E-2</v>
      </c>
      <c r="G557" s="952">
        <f t="shared" si="40"/>
        <v>5.6000000000000001E-2</v>
      </c>
      <c r="H557" s="1455">
        <f t="shared" si="41"/>
        <v>5.6000000000000001E-2</v>
      </c>
      <c r="I557" s="1456"/>
      <c r="J557" s="884">
        <v>0</v>
      </c>
      <c r="K557" s="884">
        <v>0</v>
      </c>
      <c r="L557" s="953"/>
    </row>
    <row r="558" spans="1:15">
      <c r="A558" s="1449" t="s">
        <v>396</v>
      </c>
      <c r="B558" s="1450"/>
      <c r="C558" s="882">
        <v>6.7000000000000004E-2</v>
      </c>
      <c r="D558" s="950">
        <f t="shared" si="37"/>
        <v>6.7000000000000004E-2</v>
      </c>
      <c r="E558" s="951">
        <f t="shared" si="38"/>
        <v>6.7000000000000004E-2</v>
      </c>
      <c r="F558" s="950">
        <f t="shared" si="39"/>
        <v>6.7000000000000004E-2</v>
      </c>
      <c r="G558" s="952">
        <f t="shared" si="40"/>
        <v>6.7000000000000004E-2</v>
      </c>
      <c r="H558" s="1455">
        <f t="shared" si="41"/>
        <v>6.7000000000000004E-2</v>
      </c>
      <c r="I558" s="1456"/>
      <c r="J558" s="884">
        <v>0</v>
      </c>
      <c r="K558" s="884">
        <v>0</v>
      </c>
      <c r="L558" s="953"/>
    </row>
    <row r="559" spans="1:15" ht="15.75" thickBot="1">
      <c r="A559" s="1465" t="s">
        <v>483</v>
      </c>
      <c r="B559" s="1466"/>
      <c r="C559" s="954">
        <v>9.6000000000000002E-2</v>
      </c>
      <c r="D559" s="955">
        <f t="shared" si="37"/>
        <v>9.6000000000000002E-2</v>
      </c>
      <c r="E559" s="956">
        <f t="shared" si="38"/>
        <v>9.6000000000000002E-2</v>
      </c>
      <c r="F559" s="955">
        <f t="shared" si="39"/>
        <v>0.1002</v>
      </c>
      <c r="G559" s="957">
        <f t="shared" si="40"/>
        <v>0.1275</v>
      </c>
      <c r="H559" s="1467">
        <f t="shared" si="41"/>
        <v>0.11</v>
      </c>
      <c r="I559" s="1492"/>
      <c r="J559" s="557">
        <v>0</v>
      </c>
      <c r="K559" s="557">
        <v>7</v>
      </c>
      <c r="L559" s="953"/>
    </row>
    <row r="560" spans="1:15">
      <c r="A560" s="599"/>
      <c r="B560" s="599"/>
      <c r="C560" s="599"/>
      <c r="D560" s="599"/>
      <c r="E560" s="599"/>
      <c r="F560" s="599"/>
      <c r="G560" s="599"/>
      <c r="H560" s="599"/>
      <c r="I560" s="599"/>
      <c r="J560" s="599"/>
      <c r="K560" s="599"/>
      <c r="L560" s="599"/>
      <c r="M560" s="87"/>
      <c r="N560" s="87"/>
      <c r="O560" s="87"/>
    </row>
    <row r="561" spans="1:11">
      <c r="A561" s="1162" t="s">
        <v>1082</v>
      </c>
      <c r="B561" s="1159"/>
      <c r="C561" s="1159"/>
      <c r="D561" s="1159"/>
      <c r="E561" s="1159"/>
      <c r="F561" s="1159"/>
      <c r="G561" s="1159"/>
      <c r="H561" s="1159"/>
      <c r="I561" s="1159"/>
      <c r="J561" s="1159"/>
      <c r="K561" s="1159"/>
    </row>
    <row r="562" spans="1:11">
      <c r="A562" s="1159"/>
      <c r="B562" s="1159"/>
      <c r="C562" s="1159"/>
      <c r="D562" s="1159"/>
      <c r="E562" s="1159"/>
      <c r="F562" s="1159"/>
      <c r="G562" s="1159"/>
      <c r="H562" s="1159"/>
      <c r="I562" s="1159"/>
      <c r="J562" s="1159"/>
      <c r="K562" s="1159"/>
    </row>
    <row r="563" spans="1:11" ht="15" customHeight="1">
      <c r="A563" s="1283" t="s">
        <v>1083</v>
      </c>
      <c r="B563" s="1184"/>
      <c r="C563" s="1184"/>
      <c r="D563" s="1184"/>
      <c r="E563" s="1184"/>
      <c r="F563" s="1184"/>
      <c r="G563" s="1184"/>
      <c r="H563" s="1184"/>
      <c r="I563" s="1184"/>
      <c r="J563" s="1184"/>
      <c r="K563" s="1184"/>
    </row>
    <row r="564" spans="1:11">
      <c r="A564" s="1184"/>
      <c r="B564" s="1184"/>
      <c r="C564" s="1184"/>
      <c r="D564" s="1184"/>
      <c r="E564" s="1184"/>
      <c r="F564" s="1184"/>
      <c r="G564" s="1184"/>
      <c r="H564" s="1184"/>
      <c r="I564" s="1184"/>
      <c r="J564" s="1184"/>
      <c r="K564" s="1184"/>
    </row>
    <row r="565" spans="1:11">
      <c r="A565" s="1184"/>
      <c r="B565" s="1184"/>
      <c r="C565" s="1184"/>
      <c r="D565" s="1184"/>
      <c r="E565" s="1184"/>
      <c r="F565" s="1184"/>
      <c r="G565" s="1184"/>
      <c r="H565" s="1184"/>
      <c r="I565" s="1184"/>
      <c r="J565" s="1184"/>
      <c r="K565" s="1184"/>
    </row>
    <row r="566" spans="1:11">
      <c r="A566" s="1184"/>
      <c r="B566" s="1184"/>
      <c r="C566" s="1184"/>
      <c r="D566" s="1184"/>
      <c r="E566" s="1184"/>
      <c r="F566" s="1184"/>
      <c r="G566" s="1184"/>
      <c r="H566" s="1184"/>
      <c r="I566" s="1184"/>
      <c r="J566" s="1184"/>
      <c r="K566" s="1184"/>
    </row>
    <row r="567" spans="1:11">
      <c r="A567" s="1184"/>
      <c r="B567" s="1184"/>
      <c r="C567" s="1184"/>
      <c r="D567" s="1184"/>
      <c r="E567" s="1184"/>
      <c r="F567" s="1184"/>
      <c r="G567" s="1184"/>
      <c r="H567" s="1184"/>
      <c r="I567" s="1184"/>
      <c r="J567" s="1184"/>
      <c r="K567" s="1184"/>
    </row>
    <row r="568" spans="1:11">
      <c r="A568" s="1184"/>
      <c r="B568" s="1184"/>
      <c r="C568" s="1184"/>
      <c r="D568" s="1184"/>
      <c r="E568" s="1184"/>
      <c r="F568" s="1184"/>
      <c r="G568" s="1184"/>
      <c r="H568" s="1184"/>
      <c r="I568" s="1184"/>
      <c r="J568" s="1184"/>
      <c r="K568" s="1184"/>
    </row>
    <row r="569" spans="1:11">
      <c r="A569" s="1184"/>
      <c r="B569" s="1184"/>
      <c r="C569" s="1184"/>
      <c r="D569" s="1184"/>
      <c r="E569" s="1184"/>
      <c r="F569" s="1184"/>
      <c r="G569" s="1184"/>
      <c r="H569" s="1184"/>
      <c r="I569" s="1184"/>
      <c r="J569" s="1184"/>
      <c r="K569" s="1184"/>
    </row>
    <row r="570" spans="1:11">
      <c r="A570" s="1184"/>
      <c r="B570" s="1184"/>
      <c r="C570" s="1184"/>
      <c r="D570" s="1184"/>
      <c r="E570" s="1184"/>
      <c r="F570" s="1184"/>
      <c r="G570" s="1184"/>
      <c r="H570" s="1184"/>
      <c r="I570" s="1184"/>
      <c r="J570" s="1184"/>
      <c r="K570" s="1184"/>
    </row>
  </sheetData>
  <mergeCells count="475">
    <mergeCell ref="H143:J147"/>
    <mergeCell ref="H162:J166"/>
    <mergeCell ref="I330:J330"/>
    <mergeCell ref="I331:J331"/>
    <mergeCell ref="I332:J332"/>
    <mergeCell ref="I296:K296"/>
    <mergeCell ref="I297:K297"/>
    <mergeCell ref="A293:B293"/>
    <mergeCell ref="K331:L331"/>
    <mergeCell ref="K332:L332"/>
    <mergeCell ref="A296:B296"/>
    <mergeCell ref="F92:G92"/>
    <mergeCell ref="F91:G91"/>
    <mergeCell ref="D88:I90"/>
    <mergeCell ref="C34:D34"/>
    <mergeCell ref="C33:D33"/>
    <mergeCell ref="B58:J60"/>
    <mergeCell ref="H81:J86"/>
    <mergeCell ref="G105:J108"/>
    <mergeCell ref="H124:J128"/>
    <mergeCell ref="H555:I555"/>
    <mergeCell ref="C544:I544"/>
    <mergeCell ref="E358:F358"/>
    <mergeCell ref="E357:F357"/>
    <mergeCell ref="C357:D357"/>
    <mergeCell ref="E356:F356"/>
    <mergeCell ref="C356:D356"/>
    <mergeCell ref="E355:F355"/>
    <mergeCell ref="C355:D355"/>
    <mergeCell ref="A452:C452"/>
    <mergeCell ref="A455:K458"/>
    <mergeCell ref="B460:G460"/>
    <mergeCell ref="A375:K382"/>
    <mergeCell ref="A384:B384"/>
    <mergeCell ref="A385:B385"/>
    <mergeCell ref="A386:B386"/>
    <mergeCell ref="A407:E407"/>
    <mergeCell ref="A418:B418"/>
    <mergeCell ref="A420:B420"/>
    <mergeCell ref="A422:K423"/>
    <mergeCell ref="A429:B429"/>
    <mergeCell ref="A435:K436"/>
    <mergeCell ref="A438:C438"/>
    <mergeCell ref="A440:K441"/>
    <mergeCell ref="AS77:AS79"/>
    <mergeCell ref="S66:X73"/>
    <mergeCell ref="A274:B274"/>
    <mergeCell ref="A270:B270"/>
    <mergeCell ref="C270:D270"/>
    <mergeCell ref="L77:L78"/>
    <mergeCell ref="Q77:Q79"/>
    <mergeCell ref="S77:S78"/>
    <mergeCell ref="X77:X79"/>
    <mergeCell ref="Z77:Z78"/>
    <mergeCell ref="AE77:AE79"/>
    <mergeCell ref="AG77:AG78"/>
    <mergeCell ref="AL77:AL79"/>
    <mergeCell ref="AN77:AN78"/>
    <mergeCell ref="A271:B271"/>
    <mergeCell ref="A272:B272"/>
    <mergeCell ref="A273:B273"/>
    <mergeCell ref="A119:C119"/>
    <mergeCell ref="D119:E119"/>
    <mergeCell ref="D150:J152"/>
    <mergeCell ref="F153:G153"/>
    <mergeCell ref="F154:G154"/>
    <mergeCell ref="A253:J254"/>
    <mergeCell ref="A122:J122"/>
    <mergeCell ref="A556:B556"/>
    <mergeCell ref="A557:B557"/>
    <mergeCell ref="A558:B558"/>
    <mergeCell ref="A559:B559"/>
    <mergeCell ref="A561:K562"/>
    <mergeCell ref="A563:K570"/>
    <mergeCell ref="H556:I556"/>
    <mergeCell ref="H557:I557"/>
    <mergeCell ref="H558:I558"/>
    <mergeCell ref="H559:I559"/>
    <mergeCell ref="A544:B546"/>
    <mergeCell ref="C545:C546"/>
    <mergeCell ref="A539:K539"/>
    <mergeCell ref="A540:K542"/>
    <mergeCell ref="A547:B547"/>
    <mergeCell ref="A548:B548"/>
    <mergeCell ref="A549:B549"/>
    <mergeCell ref="K544:K545"/>
    <mergeCell ref="J544:J546"/>
    <mergeCell ref="H547:I547"/>
    <mergeCell ref="H548:I548"/>
    <mergeCell ref="H549:I549"/>
    <mergeCell ref="A550:B550"/>
    <mergeCell ref="H550:I550"/>
    <mergeCell ref="H551:I551"/>
    <mergeCell ref="H552:I552"/>
    <mergeCell ref="H553:I553"/>
    <mergeCell ref="H554:I554"/>
    <mergeCell ref="A551:B551"/>
    <mergeCell ref="A552:B552"/>
    <mergeCell ref="A553:B553"/>
    <mergeCell ref="A554:B554"/>
    <mergeCell ref="A555:B555"/>
    <mergeCell ref="A362:B362"/>
    <mergeCell ref="A363:B363"/>
    <mergeCell ref="A349:B349"/>
    <mergeCell ref="A354:B354"/>
    <mergeCell ref="A355:B355"/>
    <mergeCell ref="A370:B370"/>
    <mergeCell ref="A361:B361"/>
    <mergeCell ref="A356:B356"/>
    <mergeCell ref="A357:B357"/>
    <mergeCell ref="C358:D358"/>
    <mergeCell ref="A352:G352"/>
    <mergeCell ref="G328:H328"/>
    <mergeCell ref="G329:H329"/>
    <mergeCell ref="G330:H330"/>
    <mergeCell ref="G331:H331"/>
    <mergeCell ref="A358:B358"/>
    <mergeCell ref="A336:C336"/>
    <mergeCell ref="F336:H336"/>
    <mergeCell ref="A344:E344"/>
    <mergeCell ref="C328:D328"/>
    <mergeCell ref="C329:D329"/>
    <mergeCell ref="C330:D330"/>
    <mergeCell ref="C331:D331"/>
    <mergeCell ref="C332:D332"/>
    <mergeCell ref="C333:D333"/>
    <mergeCell ref="F345:M346"/>
    <mergeCell ref="E354:F354"/>
    <mergeCell ref="C354:D354"/>
    <mergeCell ref="K328:L328"/>
    <mergeCell ref="K329:L329"/>
    <mergeCell ref="K330:L330"/>
    <mergeCell ref="E353:F353"/>
    <mergeCell ref="C353:D353"/>
    <mergeCell ref="C299:D299"/>
    <mergeCell ref="C300:D300"/>
    <mergeCell ref="C301:D301"/>
    <mergeCell ref="C302:D302"/>
    <mergeCell ref="C303:D303"/>
    <mergeCell ref="G332:H332"/>
    <mergeCell ref="C304:D304"/>
    <mergeCell ref="C305:D305"/>
    <mergeCell ref="F299:G299"/>
    <mergeCell ref="F300:G300"/>
    <mergeCell ref="F305:G305"/>
    <mergeCell ref="F304:G304"/>
    <mergeCell ref="F303:G303"/>
    <mergeCell ref="F302:G302"/>
    <mergeCell ref="C295:D295"/>
    <mergeCell ref="I293:K293"/>
    <mergeCell ref="I294:K294"/>
    <mergeCell ref="I295:K295"/>
    <mergeCell ref="A292:K292"/>
    <mergeCell ref="C296:D296"/>
    <mergeCell ref="C297:D297"/>
    <mergeCell ref="E293:F293"/>
    <mergeCell ref="E294:F294"/>
    <mergeCell ref="E295:F295"/>
    <mergeCell ref="E296:F296"/>
    <mergeCell ref="E297:F297"/>
    <mergeCell ref="G293:H293"/>
    <mergeCell ref="G294:H294"/>
    <mergeCell ref="G295:H295"/>
    <mergeCell ref="G296:H296"/>
    <mergeCell ref="G297:H297"/>
    <mergeCell ref="A297:B297"/>
    <mergeCell ref="A200:C200"/>
    <mergeCell ref="A201:C201"/>
    <mergeCell ref="A235:J236"/>
    <mergeCell ref="D240:E240"/>
    <mergeCell ref="B238:I238"/>
    <mergeCell ref="A294:B294"/>
    <mergeCell ref="A295:B295"/>
    <mergeCell ref="B283:I283"/>
    <mergeCell ref="A284:C284"/>
    <mergeCell ref="A285:C285"/>
    <mergeCell ref="A286:C288"/>
    <mergeCell ref="D285:E285"/>
    <mergeCell ref="D286:E286"/>
    <mergeCell ref="D287:E287"/>
    <mergeCell ref="D288:E288"/>
    <mergeCell ref="D284:G284"/>
    <mergeCell ref="H285:I285"/>
    <mergeCell ref="H286:I286"/>
    <mergeCell ref="H287:I287"/>
    <mergeCell ref="H288:I288"/>
    <mergeCell ref="H284:K284"/>
    <mergeCell ref="A289:K291"/>
    <mergeCell ref="C293:D293"/>
    <mergeCell ref="C294:D294"/>
    <mergeCell ref="F135:G135"/>
    <mergeCell ref="A137:C137"/>
    <mergeCell ref="D137:E137"/>
    <mergeCell ref="A138:C138"/>
    <mergeCell ref="D138:E138"/>
    <mergeCell ref="A278:K282"/>
    <mergeCell ref="A177:C177"/>
    <mergeCell ref="D177:E177"/>
    <mergeCell ref="A203:C203"/>
    <mergeCell ref="A204:C204"/>
    <mergeCell ref="A205:C205"/>
    <mergeCell ref="A179:J180"/>
    <mergeCell ref="A182:D182"/>
    <mergeCell ref="A186:B186"/>
    <mergeCell ref="F182:I182"/>
    <mergeCell ref="F186:G186"/>
    <mergeCell ref="A188:J190"/>
    <mergeCell ref="D193:D194"/>
    <mergeCell ref="H193:I193"/>
    <mergeCell ref="H194:I194"/>
    <mergeCell ref="A193:C194"/>
    <mergeCell ref="A195:C195"/>
    <mergeCell ref="A198:C198"/>
    <mergeCell ref="A199:C199"/>
    <mergeCell ref="A79:J79"/>
    <mergeCell ref="A156:C156"/>
    <mergeCell ref="A176:C176"/>
    <mergeCell ref="D176:E176"/>
    <mergeCell ref="D169:J171"/>
    <mergeCell ref="F172:G172"/>
    <mergeCell ref="F173:G173"/>
    <mergeCell ref="A175:C175"/>
    <mergeCell ref="D175:E175"/>
    <mergeCell ref="A160:J160"/>
    <mergeCell ref="A158:C158"/>
    <mergeCell ref="D158:E158"/>
    <mergeCell ref="D156:E156"/>
    <mergeCell ref="A157:C157"/>
    <mergeCell ref="D157:E157"/>
    <mergeCell ref="A141:J141"/>
    <mergeCell ref="A120:C120"/>
    <mergeCell ref="D120:E120"/>
    <mergeCell ref="A139:C139"/>
    <mergeCell ref="D139:E139"/>
    <mergeCell ref="A121:C121"/>
    <mergeCell ref="D121:E121"/>
    <mergeCell ref="D131:J133"/>
    <mergeCell ref="F134:G134"/>
    <mergeCell ref="A98:J99"/>
    <mergeCell ref="D112:J114"/>
    <mergeCell ref="F115:G115"/>
    <mergeCell ref="F116:G116"/>
    <mergeCell ref="A118:C118"/>
    <mergeCell ref="D118:E118"/>
    <mergeCell ref="A95:C95"/>
    <mergeCell ref="A94:C94"/>
    <mergeCell ref="D95:E95"/>
    <mergeCell ref="A96:C96"/>
    <mergeCell ref="D97:E97"/>
    <mergeCell ref="D96:E96"/>
    <mergeCell ref="A103:J103"/>
    <mergeCell ref="D94:E94"/>
    <mergeCell ref="A50:B50"/>
    <mergeCell ref="A51:B51"/>
    <mergeCell ref="F75:G75"/>
    <mergeCell ref="F76:G76"/>
    <mergeCell ref="I70:J70"/>
    <mergeCell ref="I71:J71"/>
    <mergeCell ref="I72:J72"/>
    <mergeCell ref="I73:J73"/>
    <mergeCell ref="I74:J74"/>
    <mergeCell ref="I75:J75"/>
    <mergeCell ref="I76:J76"/>
    <mergeCell ref="A72:B72"/>
    <mergeCell ref="A73:B73"/>
    <mergeCell ref="A74:B74"/>
    <mergeCell ref="A75:B75"/>
    <mergeCell ref="A76:B76"/>
    <mergeCell ref="F70:G70"/>
    <mergeCell ref="F71:G71"/>
    <mergeCell ref="F72:G72"/>
    <mergeCell ref="F73:G73"/>
    <mergeCell ref="F74:G74"/>
    <mergeCell ref="F35:G35"/>
    <mergeCell ref="F36:G36"/>
    <mergeCell ref="F37:G37"/>
    <mergeCell ref="H32:I32"/>
    <mergeCell ref="H31:I31"/>
    <mergeCell ref="H33:I33"/>
    <mergeCell ref="H34:I34"/>
    <mergeCell ref="H35:I35"/>
    <mergeCell ref="H36:I36"/>
    <mergeCell ref="H37:I37"/>
    <mergeCell ref="A2:J2"/>
    <mergeCell ref="A3:J6"/>
    <mergeCell ref="A31:B32"/>
    <mergeCell ref="F31:G31"/>
    <mergeCell ref="F32:G32"/>
    <mergeCell ref="F33:G33"/>
    <mergeCell ref="F34:G34"/>
    <mergeCell ref="A30:K30"/>
    <mergeCell ref="A33:B33"/>
    <mergeCell ref="A34:B34"/>
    <mergeCell ref="C31:D31"/>
    <mergeCell ref="J31:K31"/>
    <mergeCell ref="J32:K32"/>
    <mergeCell ref="J33:K33"/>
    <mergeCell ref="J34:K34"/>
    <mergeCell ref="C32:D32"/>
    <mergeCell ref="H203:I203"/>
    <mergeCell ref="A196:C196"/>
    <mergeCell ref="A197:C197"/>
    <mergeCell ref="A202:C202"/>
    <mergeCell ref="A224:C224"/>
    <mergeCell ref="A225:C225"/>
    <mergeCell ref="C35:D35"/>
    <mergeCell ref="C36:D36"/>
    <mergeCell ref="C37:D37"/>
    <mergeCell ref="A36:B36"/>
    <mergeCell ref="A35:B35"/>
    <mergeCell ref="A37:B37"/>
    <mergeCell ref="A62:J67"/>
    <mergeCell ref="A70:B71"/>
    <mergeCell ref="A69:J69"/>
    <mergeCell ref="A54:B54"/>
    <mergeCell ref="A53:B53"/>
    <mergeCell ref="A52:B52"/>
    <mergeCell ref="A56:B56"/>
    <mergeCell ref="A44:J48"/>
    <mergeCell ref="H38:I38"/>
    <mergeCell ref="J35:K35"/>
    <mergeCell ref="J36:K36"/>
    <mergeCell ref="J37:K37"/>
    <mergeCell ref="G481:I481"/>
    <mergeCell ref="G482:I482"/>
    <mergeCell ref="C481:D481"/>
    <mergeCell ref="A226:C226"/>
    <mergeCell ref="A227:C227"/>
    <mergeCell ref="A228:C228"/>
    <mergeCell ref="H204:I204"/>
    <mergeCell ref="H205:I205"/>
    <mergeCell ref="A192:I192"/>
    <mergeCell ref="A218:C218"/>
    <mergeCell ref="A219:C219"/>
    <mergeCell ref="A220:C220"/>
    <mergeCell ref="A221:C221"/>
    <mergeCell ref="A222:C222"/>
    <mergeCell ref="A223:C223"/>
    <mergeCell ref="F216:F217"/>
    <mergeCell ref="H195:I195"/>
    <mergeCell ref="H196:I196"/>
    <mergeCell ref="H197:I197"/>
    <mergeCell ref="H198:I198"/>
    <mergeCell ref="H199:I199"/>
    <mergeCell ref="H200:I200"/>
    <mergeCell ref="H201:I201"/>
    <mergeCell ref="H202:I202"/>
    <mergeCell ref="D463:E463"/>
    <mergeCell ref="D462:E462"/>
    <mergeCell ref="D461:E461"/>
    <mergeCell ref="F461:G461"/>
    <mergeCell ref="F462:G462"/>
    <mergeCell ref="F463:G463"/>
    <mergeCell ref="F464:G464"/>
    <mergeCell ref="F465:G465"/>
    <mergeCell ref="A473:K477"/>
    <mergeCell ref="C495:D495"/>
    <mergeCell ref="C496:D496"/>
    <mergeCell ref="A484:B484"/>
    <mergeCell ref="A485:B485"/>
    <mergeCell ref="A486:B486"/>
    <mergeCell ref="A487:B487"/>
    <mergeCell ref="A488:B488"/>
    <mergeCell ref="A489:B489"/>
    <mergeCell ref="A490:B490"/>
    <mergeCell ref="A491:B491"/>
    <mergeCell ref="A492:B492"/>
    <mergeCell ref="A495:B495"/>
    <mergeCell ref="A496:B496"/>
    <mergeCell ref="C484:D484"/>
    <mergeCell ref="C485:D485"/>
    <mergeCell ref="C486:D486"/>
    <mergeCell ref="C487:D487"/>
    <mergeCell ref="C488:D488"/>
    <mergeCell ref="C489:D489"/>
    <mergeCell ref="A493:B493"/>
    <mergeCell ref="A494:B494"/>
    <mergeCell ref="C490:D490"/>
    <mergeCell ref="C491:D491"/>
    <mergeCell ref="C493:D493"/>
    <mergeCell ref="C494:D494"/>
    <mergeCell ref="C298:G298"/>
    <mergeCell ref="D360:E360"/>
    <mergeCell ref="A360:C360"/>
    <mergeCell ref="A369:B369"/>
    <mergeCell ref="A328:B328"/>
    <mergeCell ref="A329:B329"/>
    <mergeCell ref="A307:K309"/>
    <mergeCell ref="A319:K324"/>
    <mergeCell ref="F301:G301"/>
    <mergeCell ref="C482:D482"/>
    <mergeCell ref="A449:K450"/>
    <mergeCell ref="E481:F481"/>
    <mergeCell ref="E482:F482"/>
    <mergeCell ref="A481:B481"/>
    <mergeCell ref="A482:B482"/>
    <mergeCell ref="A483:B483"/>
    <mergeCell ref="B461:C462"/>
    <mergeCell ref="B465:C465"/>
    <mergeCell ref="B464:C464"/>
    <mergeCell ref="B463:C463"/>
    <mergeCell ref="D465:E465"/>
    <mergeCell ref="D464:E464"/>
    <mergeCell ref="I328:J328"/>
    <mergeCell ref="I329:J329"/>
    <mergeCell ref="F347:L347"/>
    <mergeCell ref="A347:B347"/>
    <mergeCell ref="A346:B346"/>
    <mergeCell ref="A345:B345"/>
    <mergeCell ref="K334:L334"/>
    <mergeCell ref="A327:F327"/>
    <mergeCell ref="G327:M327"/>
    <mergeCell ref="A330:B330"/>
    <mergeCell ref="A331:B331"/>
    <mergeCell ref="A332:B332"/>
    <mergeCell ref="A333:B333"/>
    <mergeCell ref="K333:L333"/>
    <mergeCell ref="I333:J333"/>
    <mergeCell ref="G333:H333"/>
    <mergeCell ref="E523:F523"/>
    <mergeCell ref="G523:I523"/>
    <mergeCell ref="A525:B525"/>
    <mergeCell ref="C525:D525"/>
    <mergeCell ref="A526:B526"/>
    <mergeCell ref="C526:D526"/>
    <mergeCell ref="D503:D504"/>
    <mergeCell ref="F503:F504"/>
    <mergeCell ref="G503:G504"/>
    <mergeCell ref="C523:D524"/>
    <mergeCell ref="H503:H504"/>
    <mergeCell ref="A503:B504"/>
    <mergeCell ref="A505:B505"/>
    <mergeCell ref="A506:B506"/>
    <mergeCell ref="C522:D522"/>
    <mergeCell ref="E522:F522"/>
    <mergeCell ref="G522:I522"/>
    <mergeCell ref="A507:B507"/>
    <mergeCell ref="A508:B508"/>
    <mergeCell ref="A509:B509"/>
    <mergeCell ref="A510:B510"/>
    <mergeCell ref="A511:B511"/>
    <mergeCell ref="A512:B512"/>
    <mergeCell ref="A513:B513"/>
    <mergeCell ref="A530:B530"/>
    <mergeCell ref="C530:D530"/>
    <mergeCell ref="A531:B531"/>
    <mergeCell ref="C531:D531"/>
    <mergeCell ref="A537:B537"/>
    <mergeCell ref="C537:D537"/>
    <mergeCell ref="A532:B532"/>
    <mergeCell ref="C532:D532"/>
    <mergeCell ref="A533:B533"/>
    <mergeCell ref="C533:D533"/>
    <mergeCell ref="A534:B534"/>
    <mergeCell ref="C534:D534"/>
    <mergeCell ref="A535:B535"/>
    <mergeCell ref="C535:D535"/>
    <mergeCell ref="A536:B536"/>
    <mergeCell ref="C536:D536"/>
    <mergeCell ref="A372:B372"/>
    <mergeCell ref="A373:B373"/>
    <mergeCell ref="A522:B524"/>
    <mergeCell ref="A527:B527"/>
    <mergeCell ref="C527:D527"/>
    <mergeCell ref="A528:B528"/>
    <mergeCell ref="C528:D528"/>
    <mergeCell ref="A529:B529"/>
    <mergeCell ref="C529:D529"/>
    <mergeCell ref="A514:B514"/>
    <mergeCell ref="A515:B515"/>
    <mergeCell ref="A516:B516"/>
    <mergeCell ref="A517:B517"/>
    <mergeCell ref="A518:B518"/>
    <mergeCell ref="C483:D483"/>
    <mergeCell ref="C492:D492"/>
  </mergeCells>
  <pageMargins left="0.511811024" right="0.511811024" top="0.78740157499999996" bottom="0.78740157499999996" header="0.31496062000000002" footer="0.31496062000000002"/>
  <pageSetup paperSize="9" orientation="portrait" verticalDpi="0" r:id="rId1"/>
  <drawing r:id="rId2"/>
  <legacyDrawing r:id="rId3"/>
  <oleObjects>
    <mc:AlternateContent xmlns:mc="http://schemas.openxmlformats.org/markup-compatibility/2006">
      <mc:Choice Requires="x14">
        <oleObject progId="Equation.3" shapeId="3079" r:id="rId4">
          <objectPr defaultSize="0" autoPict="0" r:id="rId5">
            <anchor moveWithCells="1" sizeWithCells="1">
              <from>
                <xdr:col>2</xdr:col>
                <xdr:colOff>104775</xdr:colOff>
                <xdr:row>309</xdr:row>
                <xdr:rowOff>152400</xdr:rowOff>
              </from>
              <to>
                <xdr:col>7</xdr:col>
                <xdr:colOff>542925</xdr:colOff>
                <xdr:row>312</xdr:row>
                <xdr:rowOff>47625</xdr:rowOff>
              </to>
            </anchor>
          </objectPr>
        </oleObject>
      </mc:Choice>
      <mc:Fallback>
        <oleObject progId="Equation.3" shapeId="3079" r:id="rId4"/>
      </mc:Fallback>
    </mc:AlternateContent>
    <mc:AlternateContent xmlns:mc="http://schemas.openxmlformats.org/markup-compatibility/2006">
      <mc:Choice Requires="x14">
        <oleObject progId="Equation.3" shapeId="3080" r:id="rId6">
          <objectPr defaultSize="0" autoPict="0" r:id="rId7">
            <anchor moveWithCells="1" sizeWithCells="1">
              <from>
                <xdr:col>1</xdr:col>
                <xdr:colOff>428625</xdr:colOff>
                <xdr:row>313</xdr:row>
                <xdr:rowOff>28575</xdr:rowOff>
              </from>
              <to>
                <xdr:col>8</xdr:col>
                <xdr:colOff>28575</xdr:colOff>
                <xdr:row>317</xdr:row>
                <xdr:rowOff>142875</xdr:rowOff>
              </to>
            </anchor>
          </objectPr>
        </oleObject>
      </mc:Choice>
      <mc:Fallback>
        <oleObject progId="Equation.3" shapeId="3080" r:id="rId6"/>
      </mc:Fallback>
    </mc:AlternateContent>
    <mc:AlternateContent xmlns:mc="http://schemas.openxmlformats.org/markup-compatibility/2006">
      <mc:Choice Requires="x14">
        <oleObject progId="Equation.3" shapeId="3081" r:id="rId8">
          <objectPr defaultSize="0" autoPict="0" r:id="rId5">
            <anchor moveWithCells="1" sizeWithCells="1">
              <from>
                <xdr:col>0</xdr:col>
                <xdr:colOff>371475</xdr:colOff>
                <xdr:row>364</xdr:row>
                <xdr:rowOff>114300</xdr:rowOff>
              </from>
              <to>
                <xdr:col>6</xdr:col>
                <xdr:colOff>190500</xdr:colOff>
                <xdr:row>367</xdr:row>
                <xdr:rowOff>9525</xdr:rowOff>
              </to>
            </anchor>
          </objectPr>
        </oleObject>
      </mc:Choice>
      <mc:Fallback>
        <oleObject progId="Equation.3" shapeId="3081" r:id="rId8"/>
      </mc:Fallback>
    </mc:AlternateContent>
    <mc:AlternateContent xmlns:mc="http://schemas.openxmlformats.org/markup-compatibility/2006">
      <mc:Choice Requires="x14">
        <oleObject progId="Equation.3" shapeId="3082" r:id="rId9">
          <objectPr defaultSize="0" autoPict="0" r:id="rId7">
            <anchor moveWithCells="1" sizeWithCells="1">
              <from>
                <xdr:col>6</xdr:col>
                <xdr:colOff>561975</xdr:colOff>
                <xdr:row>363</xdr:row>
                <xdr:rowOff>76200</xdr:rowOff>
              </from>
              <to>
                <xdr:col>14</xdr:col>
                <xdr:colOff>47625</xdr:colOff>
                <xdr:row>368</xdr:row>
                <xdr:rowOff>9525</xdr:rowOff>
              </to>
            </anchor>
          </objectPr>
        </oleObject>
      </mc:Choice>
      <mc:Fallback>
        <oleObject progId="Equation.3" shapeId="3082" r:id="rId9"/>
      </mc:Fallback>
    </mc:AlternateContent>
    <mc:AlternateContent xmlns:mc="http://schemas.openxmlformats.org/markup-compatibility/2006">
      <mc:Choice Requires="x14">
        <oleObject progId="Equation.3" shapeId="3083" r:id="rId10">
          <objectPr defaultSize="0" autoPict="0" r:id="rId11">
            <anchor moveWithCells="1" sizeWithCells="1">
              <from>
                <xdr:col>2</xdr:col>
                <xdr:colOff>276225</xdr:colOff>
                <xdr:row>390</xdr:row>
                <xdr:rowOff>123825</xdr:rowOff>
              </from>
              <to>
                <xdr:col>4</xdr:col>
                <xdr:colOff>276225</xdr:colOff>
                <xdr:row>393</xdr:row>
                <xdr:rowOff>104775</xdr:rowOff>
              </to>
            </anchor>
          </objectPr>
        </oleObject>
      </mc:Choice>
      <mc:Fallback>
        <oleObject progId="Equation.3" shapeId="3083" r:id="rId10"/>
      </mc:Fallback>
    </mc:AlternateContent>
    <mc:AlternateContent xmlns:mc="http://schemas.openxmlformats.org/markup-compatibility/2006">
      <mc:Choice Requires="x14">
        <oleObject progId="Equation.3" shapeId="3084" r:id="rId12">
          <objectPr defaultSize="0" autoPict="0" r:id="rId13">
            <anchor moveWithCells="1" sizeWithCells="1">
              <from>
                <xdr:col>4</xdr:col>
                <xdr:colOff>485775</xdr:colOff>
                <xdr:row>386</xdr:row>
                <xdr:rowOff>114300</xdr:rowOff>
              </from>
              <to>
                <xdr:col>5</xdr:col>
                <xdr:colOff>638175</xdr:colOff>
                <xdr:row>388</xdr:row>
                <xdr:rowOff>66675</xdr:rowOff>
              </to>
            </anchor>
          </objectPr>
        </oleObject>
      </mc:Choice>
      <mc:Fallback>
        <oleObject progId="Equation.3" shapeId="3084" r:id="rId12"/>
      </mc:Fallback>
    </mc:AlternateContent>
    <mc:AlternateContent xmlns:mc="http://schemas.openxmlformats.org/markup-compatibility/2006">
      <mc:Choice Requires="x14">
        <oleObject progId="Equation.3" shapeId="3088" r:id="rId14">
          <objectPr defaultSize="0" autoPict="0" r:id="rId11">
            <anchor moveWithCells="1" sizeWithCells="1">
              <from>
                <xdr:col>2</xdr:col>
                <xdr:colOff>657225</xdr:colOff>
                <xdr:row>398</xdr:row>
                <xdr:rowOff>152400</xdr:rowOff>
              </from>
              <to>
                <xdr:col>4</xdr:col>
                <xdr:colOff>657225</xdr:colOff>
                <xdr:row>401</xdr:row>
                <xdr:rowOff>142875</xdr:rowOff>
              </to>
            </anchor>
          </objectPr>
        </oleObject>
      </mc:Choice>
      <mc:Fallback>
        <oleObject progId="Equation.3" shapeId="3088" r:id="rId14"/>
      </mc:Fallback>
    </mc:AlternateContent>
    <mc:AlternateContent xmlns:mc="http://schemas.openxmlformats.org/markup-compatibility/2006">
      <mc:Choice Requires="x14">
        <oleObject progId="Equation.3" shapeId="3089" r:id="rId15">
          <objectPr defaultSize="0" autoPict="0" r:id="rId16">
            <anchor moveWithCells="1" sizeWithCells="1">
              <from>
                <xdr:col>1</xdr:col>
                <xdr:colOff>66675</xdr:colOff>
                <xdr:row>407</xdr:row>
                <xdr:rowOff>142875</xdr:rowOff>
              </from>
              <to>
                <xdr:col>4</xdr:col>
                <xdr:colOff>523875</xdr:colOff>
                <xdr:row>410</xdr:row>
                <xdr:rowOff>0</xdr:rowOff>
              </to>
            </anchor>
          </objectPr>
        </oleObject>
      </mc:Choice>
      <mc:Fallback>
        <oleObject progId="Equation.3" shapeId="3089" r:id="rId15"/>
      </mc:Fallback>
    </mc:AlternateContent>
    <mc:AlternateContent xmlns:mc="http://schemas.openxmlformats.org/markup-compatibility/2006">
      <mc:Choice Requires="x14">
        <oleObject progId="Equation.3" shapeId="3091" r:id="rId17">
          <objectPr defaultSize="0" autoPict="0" r:id="rId18">
            <anchor moveWithCells="1" sizeWithCells="1">
              <from>
                <xdr:col>7</xdr:col>
                <xdr:colOff>352425</xdr:colOff>
                <xdr:row>461</xdr:row>
                <xdr:rowOff>104775</xdr:rowOff>
              </from>
              <to>
                <xdr:col>10</xdr:col>
                <xdr:colOff>180975</xdr:colOff>
                <xdr:row>463</xdr:row>
                <xdr:rowOff>161925</xdr:rowOff>
              </to>
            </anchor>
          </objectPr>
        </oleObject>
      </mc:Choice>
      <mc:Fallback>
        <oleObject progId="Equation.3" shapeId="3091" r:id="rId17"/>
      </mc:Fallback>
    </mc:AlternateContent>
    <mc:AlternateContent xmlns:mc="http://schemas.openxmlformats.org/markup-compatibility/2006">
      <mc:Choice Requires="x14">
        <oleObject progId="Equation.3" shapeId="3074" r:id="rId19">
          <objectPr defaultSize="0" autoPict="0" r:id="rId20">
            <anchor moveWithCells="1" sizeWithCells="1">
              <from>
                <xdr:col>0</xdr:col>
                <xdr:colOff>142875</xdr:colOff>
                <xdr:row>206</xdr:row>
                <xdr:rowOff>28575</xdr:rowOff>
              </from>
              <to>
                <xdr:col>3</xdr:col>
                <xdr:colOff>257175</xdr:colOff>
                <xdr:row>210</xdr:row>
                <xdr:rowOff>142875</xdr:rowOff>
              </to>
            </anchor>
          </objectPr>
        </oleObject>
      </mc:Choice>
      <mc:Fallback>
        <oleObject progId="Equation.3" shapeId="3074" r:id="rId19"/>
      </mc:Fallback>
    </mc:AlternateContent>
    <mc:AlternateContent xmlns:mc="http://schemas.openxmlformats.org/markup-compatibility/2006">
      <mc:Choice Requires="x14">
        <oleObject progId="Equation.3" shapeId="3076" r:id="rId21">
          <objectPr defaultSize="0" autoPict="0" r:id="rId22">
            <anchor moveWithCells="1" sizeWithCells="1">
              <from>
                <xdr:col>3</xdr:col>
                <xdr:colOff>466725</xdr:colOff>
                <xdr:row>205</xdr:row>
                <xdr:rowOff>142875</xdr:rowOff>
              </from>
              <to>
                <xdr:col>9</xdr:col>
                <xdr:colOff>180975</xdr:colOff>
                <xdr:row>208</xdr:row>
                <xdr:rowOff>28575</xdr:rowOff>
              </to>
            </anchor>
          </objectPr>
        </oleObject>
      </mc:Choice>
      <mc:Fallback>
        <oleObject progId="Equation.3" shapeId="3076" r:id="rId21"/>
      </mc:Fallback>
    </mc:AlternateContent>
    <mc:AlternateContent xmlns:mc="http://schemas.openxmlformats.org/markup-compatibility/2006">
      <mc:Choice Requires="x14">
        <oleObject progId="Equation.3" shapeId="3077" r:id="rId23">
          <objectPr defaultSize="0" autoPict="0" r:id="rId24">
            <anchor moveWithCells="1" sizeWithCells="1">
              <from>
                <xdr:col>5</xdr:col>
                <xdr:colOff>314325</xdr:colOff>
                <xdr:row>209</xdr:row>
                <xdr:rowOff>0</xdr:rowOff>
              </from>
              <to>
                <xdr:col>7</xdr:col>
                <xdr:colOff>76200</xdr:colOff>
                <xdr:row>211</xdr:row>
                <xdr:rowOff>66675</xdr:rowOff>
              </to>
            </anchor>
          </objectPr>
        </oleObject>
      </mc:Choice>
      <mc:Fallback>
        <oleObject progId="Equation.3" shapeId="3077" r:id="rId23"/>
      </mc:Fallback>
    </mc:AlternateContent>
  </oleObjec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28</vt:i4>
      </vt:variant>
    </vt:vector>
  </HeadingPairs>
  <TitlesOfParts>
    <vt:vector size="32" baseType="lpstr">
      <vt:lpstr>Capítulo 1</vt:lpstr>
      <vt:lpstr>Capítulo 2</vt:lpstr>
      <vt:lpstr>Capítulo 3</vt:lpstr>
      <vt:lpstr>Capítulo 4</vt:lpstr>
      <vt:lpstr>'Capítulo 1'!_ftn1</vt:lpstr>
      <vt:lpstr>'Capítulo 1'!_ftnref1</vt:lpstr>
      <vt:lpstr>'Capítulo 1'!_Ref329336560</vt:lpstr>
      <vt:lpstr>'Capítulo 2'!_Ref329534800</vt:lpstr>
      <vt:lpstr>'Capítulo 2'!_Ref329542474</vt:lpstr>
      <vt:lpstr>'Capítulo 2'!_Ref329676567</vt:lpstr>
      <vt:lpstr>'Capítulo 3'!_Ref330192926</vt:lpstr>
      <vt:lpstr>'Capítulo 4'!_Ref330544559</vt:lpstr>
      <vt:lpstr>'Capítulo 4'!_Ref330552097</vt:lpstr>
      <vt:lpstr>'Capítulo 4'!_Ref330635693</vt:lpstr>
      <vt:lpstr>'Capítulo 2'!_Ref332204731</vt:lpstr>
      <vt:lpstr>'Capítulo 2'!_Ref332213199</vt:lpstr>
      <vt:lpstr>'Capítulo 2'!_Ref332370228</vt:lpstr>
      <vt:lpstr>'Capítulo 2'!_Ref332475827</vt:lpstr>
      <vt:lpstr>'Capítulo 2'!_Ref333323631</vt:lpstr>
      <vt:lpstr>'Capítulo 2'!_Ref333415774</vt:lpstr>
      <vt:lpstr>'Capítulo 2'!_Ref333436548</vt:lpstr>
      <vt:lpstr>'Capítulo 3'!_Ref333483424</vt:lpstr>
      <vt:lpstr>'Capítulo 3'!_Ref333490635</vt:lpstr>
      <vt:lpstr>'Capítulo 4'!_Ref334628000</vt:lpstr>
      <vt:lpstr>'Capítulo 2'!_Ref335561781</vt:lpstr>
      <vt:lpstr>'Capítulo 2'!_Ref335561854</vt:lpstr>
      <vt:lpstr>'Capítulo 2'!_Ref339908852</vt:lpstr>
      <vt:lpstr>'Capítulo 2'!_Ref339989948</vt:lpstr>
      <vt:lpstr>'Capítulo 2'!_Ref340486175</vt:lpstr>
      <vt:lpstr>'Capítulo 1'!_Ref510011205</vt:lpstr>
      <vt:lpstr>'Capítulo 1'!Area_de_impressao</vt:lpstr>
      <vt:lpstr>'Capítulo 2'!OLE_LINK1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Gabrielle</cp:lastModifiedBy>
  <dcterms:created xsi:type="dcterms:W3CDTF">2015-08-16T20:17:06Z</dcterms:created>
  <dcterms:modified xsi:type="dcterms:W3CDTF">2018-07-24T19:08:44Z</dcterms:modified>
  <cp:category/>
</cp:coreProperties>
</file>